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238" yWindow="4070" windowWidth="24267" windowHeight="7726" tabRatio="609"/>
  </bookViews>
  <sheets>
    <sheet name="2025" sheetId="1" r:id="rId1"/>
  </sheets>
  <externalReferences>
    <externalReference r:id="rId2"/>
    <externalReference r:id="rId3"/>
  </externalReferences>
  <definedNames>
    <definedName name="_1" localSheetId="0">'[1]01.01.99'!#REF!</definedName>
    <definedName name="_1">'[1]01.01.99'!#REF!</definedName>
    <definedName name="_1_4" localSheetId="0">'[1]01.01.99'!#REF!</definedName>
    <definedName name="_1_4">'[1]01.01.99'!#REF!</definedName>
    <definedName name="_1_5" localSheetId="0">'[1]01.01.99'!#REF!</definedName>
    <definedName name="_1_5">'[1]01.01.99'!#REF!</definedName>
    <definedName name="_B2300" localSheetId="0">#REF!</definedName>
    <definedName name="_B2300">#REF!</definedName>
    <definedName name="_B2300_4" localSheetId="0">#REF!</definedName>
    <definedName name="_B2300_4">#REF!</definedName>
    <definedName name="_B2300_5" localSheetId="0">#REF!</definedName>
    <definedName name="_B2300_5">#REF!</definedName>
    <definedName name="_Б21000" localSheetId="0">#REF!</definedName>
    <definedName name="_Б21000">#REF!</definedName>
    <definedName name="_Б21000_4" localSheetId="0">#REF!</definedName>
    <definedName name="_Б21000_4">#REF!</definedName>
    <definedName name="_Б21000_5" localSheetId="0">#REF!</definedName>
    <definedName name="_Б21000_5">#REF!</definedName>
    <definedName name="_Б22000" localSheetId="0">#REF!</definedName>
    <definedName name="_Б22000">#REF!</definedName>
    <definedName name="_Б22000_4" localSheetId="0">#REF!</definedName>
    <definedName name="_Б22000_4">#REF!</definedName>
    <definedName name="_Б22000_5" localSheetId="0">#REF!</definedName>
    <definedName name="_Б22000_5">#REF!</definedName>
    <definedName name="_Б22100" localSheetId="0">#REF!</definedName>
    <definedName name="_Б22100">#REF!</definedName>
    <definedName name="_Б22100_4" localSheetId="0">#REF!</definedName>
    <definedName name="_Б22100_4">#REF!</definedName>
    <definedName name="_Б22100_5" localSheetId="0">#REF!</definedName>
    <definedName name="_Б22100_5">#REF!</definedName>
    <definedName name="_Б22110" localSheetId="0">#REF!</definedName>
    <definedName name="_Б22110">#REF!</definedName>
    <definedName name="_Б22110_4" localSheetId="0">#REF!</definedName>
    <definedName name="_Б22110_4">#REF!</definedName>
    <definedName name="_Б22110_5" localSheetId="0">#REF!</definedName>
    <definedName name="_Б22110_5">#REF!</definedName>
    <definedName name="_Б22111" localSheetId="0">#REF!</definedName>
    <definedName name="_Б22111">#REF!</definedName>
    <definedName name="_Б22111_4" localSheetId="0">#REF!</definedName>
    <definedName name="_Б22111_4">#REF!</definedName>
    <definedName name="_Б22111_5" localSheetId="0">#REF!</definedName>
    <definedName name="_Б22111_5">#REF!</definedName>
    <definedName name="_Б22112" localSheetId="0">#REF!</definedName>
    <definedName name="_Б22112">#REF!</definedName>
    <definedName name="_Б22112_4" localSheetId="0">#REF!</definedName>
    <definedName name="_Б22112_4">#REF!</definedName>
    <definedName name="_Б22112_5" localSheetId="0">#REF!</definedName>
    <definedName name="_Б22112_5">#REF!</definedName>
    <definedName name="_Б22200" localSheetId="0">#REF!</definedName>
    <definedName name="_Б22200">#REF!</definedName>
    <definedName name="_Б22200_4" localSheetId="0">#REF!</definedName>
    <definedName name="_Б22200_4">#REF!</definedName>
    <definedName name="_Б22200_5" localSheetId="0">#REF!</definedName>
    <definedName name="_Б22200_5">#REF!</definedName>
    <definedName name="_Б23000" localSheetId="0">#REF!</definedName>
    <definedName name="_Б23000">#REF!</definedName>
    <definedName name="_Б23000_4" localSheetId="0">#REF!</definedName>
    <definedName name="_Б23000_4">#REF!</definedName>
    <definedName name="_Б23000_5" localSheetId="0">#REF!</definedName>
    <definedName name="_Б23000_5">#REF!</definedName>
    <definedName name="_Б24000" localSheetId="0">#REF!</definedName>
    <definedName name="_Б24000">#REF!</definedName>
    <definedName name="_Б24000_4" localSheetId="0">#REF!</definedName>
    <definedName name="_Б24000_4">#REF!</definedName>
    <definedName name="_Б24000_5" localSheetId="0">#REF!</definedName>
    <definedName name="_Б24000_5">#REF!</definedName>
    <definedName name="_Б25000" localSheetId="0">#REF!</definedName>
    <definedName name="_Б25000">#REF!</definedName>
    <definedName name="_Б25000_4" localSheetId="0">#REF!</definedName>
    <definedName name="_Б25000_4">#REF!</definedName>
    <definedName name="_Б25000_5" localSheetId="0">#REF!</definedName>
    <definedName name="_Б25000_5">#REF!</definedName>
    <definedName name="_Б41000" localSheetId="0">#REF!</definedName>
    <definedName name="_Б41000">#REF!</definedName>
    <definedName name="_Б41000_4" localSheetId="0">#REF!</definedName>
    <definedName name="_Б41000_4">#REF!</definedName>
    <definedName name="_Б41000_5" localSheetId="0">#REF!</definedName>
    <definedName name="_Б41000_5">#REF!</definedName>
    <definedName name="_Б42000" localSheetId="0">#REF!</definedName>
    <definedName name="_Б42000">#REF!</definedName>
    <definedName name="_Б42000_4" localSheetId="0">#REF!</definedName>
    <definedName name="_Б42000_4">#REF!</definedName>
    <definedName name="_Б42000_5" localSheetId="0">#REF!</definedName>
    <definedName name="_Б42000_5">#REF!</definedName>
    <definedName name="_Б43000" localSheetId="0">#REF!</definedName>
    <definedName name="_Б43000">#REF!</definedName>
    <definedName name="_Б43000_4" localSheetId="0">#REF!</definedName>
    <definedName name="_Б43000_4">#REF!</definedName>
    <definedName name="_Б43000_5" localSheetId="0">#REF!</definedName>
    <definedName name="_Б43000_5">#REF!</definedName>
    <definedName name="_Б44000" localSheetId="0">#REF!</definedName>
    <definedName name="_Б44000">#REF!</definedName>
    <definedName name="_Б44000_4" localSheetId="0">#REF!</definedName>
    <definedName name="_Б44000_4">#REF!</definedName>
    <definedName name="_Б44000_5" localSheetId="0">#REF!</definedName>
    <definedName name="_Б44000_5">#REF!</definedName>
    <definedName name="_Б45000" localSheetId="0">#REF!</definedName>
    <definedName name="_Б45000">#REF!</definedName>
    <definedName name="_Б45000_4" localSheetId="0">#REF!</definedName>
    <definedName name="_Б45000_4">#REF!</definedName>
    <definedName name="_Б45000_5" localSheetId="0">#REF!</definedName>
    <definedName name="_Б45000_5">#REF!</definedName>
    <definedName name="_Б46000" localSheetId="0">#REF!</definedName>
    <definedName name="_Б46000">#REF!</definedName>
    <definedName name="_Б46000_4" localSheetId="0">#REF!</definedName>
    <definedName name="_Б46000_4">#REF!</definedName>
    <definedName name="_Б46000_5" localSheetId="0">#REF!</definedName>
    <definedName name="_Б46000_5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 localSheetId="0">#REF!</definedName>
    <definedName name="_ІБ900501">#REF!</definedName>
    <definedName name="_ІБ900501_4" localSheetId="0">#REF!</definedName>
    <definedName name="_ІБ900501_4">#REF!</definedName>
    <definedName name="_ІБ900501_5" localSheetId="0">#REF!</definedName>
    <definedName name="_ІБ900501_5">#REF!</definedName>
    <definedName name="_ІБ900502" localSheetId="0">#REF!</definedName>
    <definedName name="_ІБ900502">#REF!</definedName>
    <definedName name="_ІБ900502_4" localSheetId="0">#REF!</definedName>
    <definedName name="_ІБ900502_4">#REF!</definedName>
    <definedName name="_ІБ900502_5" localSheetId="0">#REF!</definedName>
    <definedName name="_ІБ900502_5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const1">[2]разом!$V$791</definedName>
    <definedName name="const3">[2]разом!$V$793</definedName>
    <definedName name="const4">[2]разом!$V$794</definedName>
    <definedName name="const5">[2]разом!$V$795</definedName>
    <definedName name="const6">[2]разом!$V$796</definedName>
    <definedName name="const7">[2]разом!$V$797</definedName>
    <definedName name="Z_168AF351_D3E1_41E7_895A_DFB0EE50CFF9_.wvu.Cols" localSheetId="0" hidden="1">'2025'!$V:$Y,'2025'!$AA:$AA</definedName>
    <definedName name="Z_168AF351_D3E1_41E7_895A_DFB0EE50CFF9_.wvu.PrintArea" localSheetId="0" hidden="1">'2025'!$A$1:$Z$68</definedName>
    <definedName name="Z_168AF351_D3E1_41E7_895A_DFB0EE50CFF9_.wvu.PrintTitles" localSheetId="0" hidden="1">'2025'!$3:$4</definedName>
    <definedName name="Z_168AF351_D3E1_41E7_895A_DFB0EE50CFF9_.wvu.Rows" localSheetId="0" hidden="1">'2025'!#REF!,'2025'!#REF!,'2025'!#REF!,'2025'!#REF!,'2025'!#REF!,'2025'!#REF!,'2025'!$8:$11,'2025'!#REF!,'2025'!$28:$31,'2025'!#REF!,'2025'!#REF!,'2025'!$50:$53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</definedName>
    <definedName name="Z_1D008419_FE60_486A_93C6_B5F62B40269F_.wvu.Cols" localSheetId="0" hidden="1">'2025'!$V:$Y,'2025'!$AA:$AA</definedName>
    <definedName name="Z_1D008419_FE60_486A_93C6_B5F62B40269F_.wvu.PrintArea" localSheetId="0" hidden="1">'2025'!$A$1:$Z$68</definedName>
    <definedName name="Z_1D008419_FE60_486A_93C6_B5F62B40269F_.wvu.PrintTitles" localSheetId="0" hidden="1">'2025'!$3:$4</definedName>
    <definedName name="Z_1D008419_FE60_486A_93C6_B5F62B40269F_.wvu.Rows" localSheetId="0" hidden="1">'2025'!#REF!,'2025'!#REF!,'2025'!#REF!,'2025'!#REF!,'2025'!#REF!,'2025'!#REF!,'2025'!#REF!,'2025'!#REF!,'2025'!#REF!,'2025'!#REF!,'2025'!#REF!,'2025'!#REF!,'2025'!#REF!,'2025'!#REF!,'2025'!#REF!,'2025'!$8:$11,'2025'!#REF!,'2025'!$28:$31,'2025'!#REF!,'2025'!#REF!,'2025'!$50:$53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</definedName>
    <definedName name="Z_349B6510_CFFA_4B80_AD9E_5B1766AAFE00_.wvu.Cols" localSheetId="0" hidden="1">'2025'!$V:$Y</definedName>
    <definedName name="Z_349B6510_CFFA_4B80_AD9E_5B1766AAFE00_.wvu.PrintTitles" localSheetId="0" hidden="1">'2025'!$3:$4</definedName>
    <definedName name="Z_349B6510_CFFA_4B80_AD9E_5B1766AAFE00_.wvu.Rows" localSheetId="0" hidden="1">'2025'!#REF!</definedName>
    <definedName name="Z_3FFF4174_2CBA_4501_ADCB_BD35267B3ADC_.wvu.PrintArea" localSheetId="0" hidden="1">'2025'!$A$1:$U$68</definedName>
    <definedName name="Z_3FFF4174_2CBA_4501_ADCB_BD35267B3ADC_.wvu.PrintTitles" localSheetId="0" hidden="1">'2025'!$3:$4</definedName>
    <definedName name="Z_3FFF4174_2CBA_4501_ADCB_BD35267B3ADC_.wvu.Rows" localSheetId="0" hidden="1">'2025'!#REF!,'2025'!#REF!,'2025'!#REF!,'2025'!#REF!,'2025'!#REF!,'2025'!#REF!,'2025'!#REF!,'2025'!#REF!,'2025'!#REF!,'2025'!#REF!,'2025'!#REF!,'2025'!#REF!</definedName>
    <definedName name="Z_468BE156_1D42_4568_9A20_94B105C0C7C5_.wvu.Cols" localSheetId="0" hidden="1">'2025'!#REF!</definedName>
    <definedName name="Z_468BE156_1D42_4568_9A20_94B105C0C7C5_.wvu.PrintArea" localSheetId="0" hidden="1">'2025'!$A$1:$U$68</definedName>
    <definedName name="Z_468BE156_1D42_4568_9A20_94B105C0C7C5_.wvu.PrintTitles" localSheetId="0" hidden="1">'2025'!$3:$4</definedName>
    <definedName name="Z_468BE156_1D42_4568_9A20_94B105C0C7C5_.wvu.Rows" localSheetId="0" hidden="1">'2025'!#REF!,'2025'!#REF!,'2025'!#REF!,'2025'!#REF!,'2025'!#REF!,'2025'!#REF!,'2025'!#REF!,'2025'!#REF!,'2025'!#REF!,'2025'!#REF!,'2025'!#REF!,'2025'!#REF!,'2025'!#REF!,'2025'!#REF!,'2025'!#REF!,'2025'!$8:$12,'2025'!#REF!,'2025'!$28:$32,'2025'!#REF!,'2025'!#REF!,'2025'!$50:$54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</definedName>
    <definedName name="Z_AA1234CA_557D_43C5_A518_6A11E8C1B2D9_.wvu.Cols" localSheetId="0" hidden="1">'2025'!$V:$Y,'2025'!$AA:$AA</definedName>
    <definedName name="Z_AA1234CA_557D_43C5_A518_6A11E8C1B2D9_.wvu.PrintArea" localSheetId="0" hidden="1">'2025'!$A$1:$Z$68</definedName>
    <definedName name="Z_AA1234CA_557D_43C5_A518_6A11E8C1B2D9_.wvu.PrintTitles" localSheetId="0" hidden="1">'2025'!$3:$4</definedName>
    <definedName name="Z_AA1234CA_557D_43C5_A518_6A11E8C1B2D9_.wvu.Rows" localSheetId="0" hidden="1">'2025'!#REF!,'2025'!#REF!,'2025'!#REF!,'2025'!#REF!,'2025'!#REF!,'2025'!#REF!,'2025'!#REF!,'2025'!#REF!,'2025'!#REF!,'2025'!#REF!,'2025'!#REF!,'2025'!#REF!,'2025'!#REF!,'2025'!#REF!,'2025'!#REF!,'2025'!$8:$11,'2025'!#REF!,'2025'!$28:$31,'2025'!#REF!,'2025'!#REF!,'2025'!$50:$53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</definedName>
    <definedName name="Z_EC43E0CC_E635_4854_A9E5_5B417B30459E_.wvu.Cols" localSheetId="0" hidden="1">'2025'!#REF!</definedName>
    <definedName name="Z_EC43E0CC_E635_4854_A9E5_5B417B30459E_.wvu.PrintArea" localSheetId="0" hidden="1">'2025'!$A$1:$U$68</definedName>
    <definedName name="Z_EC43E0CC_E635_4854_A9E5_5B417B30459E_.wvu.PrintTitles" localSheetId="0" hidden="1">'2025'!$3:$4</definedName>
    <definedName name="Z_EC43E0CC_E635_4854_A9E5_5B417B30459E_.wvu.Rows" localSheetId="0" hidden="1">'2025'!#REF!,'2025'!#REF!,'2025'!#REF!,'2025'!#REF!,'2025'!#REF!,'2025'!#REF!,'2025'!#REF!,'2025'!#REF!,'2025'!#REF!,'2025'!#REF!,'2025'!#REF!,'2025'!#REF!,'2025'!#REF!</definedName>
    <definedName name="Z_FCC8DAD3_4A97_455A_BAE9_4D80D3CF9A41_.wvu.Cols" localSheetId="0" hidden="1">'2025'!#REF!</definedName>
    <definedName name="Z_FCC8DAD3_4A97_455A_BAE9_4D80D3CF9A41_.wvu.PrintArea" localSheetId="0" hidden="1">'2025'!$A$1:$U$68</definedName>
    <definedName name="Z_FCC8DAD3_4A97_455A_BAE9_4D80D3CF9A41_.wvu.PrintTitles" localSheetId="0" hidden="1">'2025'!$3:$4</definedName>
    <definedName name="Z_FCC8DAD3_4A97_455A_BAE9_4D80D3CF9A41_.wvu.Rows" localSheetId="0" hidden="1">'2025'!#REF!,'2025'!#REF!,'2025'!#REF!,'2025'!#REF!,'2025'!#REF!,'2025'!#REF!,'2025'!#REF!,'2025'!#REF!,'2025'!#REF!,'2025'!#REF!,'2025'!#REF!,'2025'!#REF!,'2025'!#REF!,'2025'!#REF!,'2025'!$8:$11,'2025'!#REF!,'2025'!$28:$31,'2025'!#REF!,'2025'!#REF!,'2025'!$50:$53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,'2025'!#REF!</definedName>
    <definedName name="В68">#REF!</definedName>
    <definedName name="вс">#REF!</definedName>
    <definedName name="д" localSheetId="0">'[1]01.01.99'!#REF!</definedName>
    <definedName name="д">'[1]01.01.99'!#REF!</definedName>
    <definedName name="д_4" localSheetId="0">'[1]01.01.99'!#REF!</definedName>
    <definedName name="д_4">'[1]01.01.99'!#REF!</definedName>
    <definedName name="д_5" localSheetId="0">'[1]01.01.99'!#REF!</definedName>
    <definedName name="д_5">'[1]01.01.99'!#REF!</definedName>
    <definedName name="дд" localSheetId="0">#REF!</definedName>
    <definedName name="дд">#REF!</definedName>
    <definedName name="дд_4" localSheetId="0">#REF!</definedName>
    <definedName name="дд_4">#REF!</definedName>
    <definedName name="дд_5" localSheetId="0">#REF!</definedName>
    <definedName name="дд_5">#REF!</definedName>
    <definedName name="ддд" localSheetId="0">#REF!</definedName>
    <definedName name="ддд">#REF!</definedName>
    <definedName name="ддд_4" localSheetId="0">#REF!</definedName>
    <definedName name="ддд_4">#REF!</definedName>
    <definedName name="ддд_5" localSheetId="0">#REF!</definedName>
    <definedName name="ддд_5">#REF!</definedName>
    <definedName name="жжж" localSheetId="0">#REF!</definedName>
    <definedName name="жжж">#REF!</definedName>
    <definedName name="жжж_4" localSheetId="0">#REF!</definedName>
    <definedName name="жжж_4">#REF!</definedName>
    <definedName name="жжж_5" localSheetId="0">#REF!</definedName>
    <definedName name="жжж_5">#REF!</definedName>
    <definedName name="_xlnm.Print_Titles" localSheetId="0">'2025'!$3:$4</definedName>
    <definedName name="л" localSheetId="0">#REF!</definedName>
    <definedName name="л">#REF!</definedName>
    <definedName name="л_4" localSheetId="0">#REF!</definedName>
    <definedName name="л_4">#REF!</definedName>
    <definedName name="л_5" localSheetId="0">#REF!</definedName>
    <definedName name="л_5">#REF!</definedName>
    <definedName name="листопад" localSheetId="0">#REF!</definedName>
    <definedName name="листопад">#REF!</definedName>
    <definedName name="листопад_4" localSheetId="0">#REF!</definedName>
    <definedName name="листопад_4">#REF!</definedName>
    <definedName name="листопад_5" localSheetId="0">#REF!</definedName>
    <definedName name="листопад_5">#REF!</definedName>
    <definedName name="ммм">#REF!</definedName>
    <definedName name="_xlnm.Print_Area" localSheetId="0">'2025'!$A$1:$U$72</definedName>
    <definedName name="попр" localSheetId="0">#REF!</definedName>
    <definedName name="попр">#REF!</definedName>
    <definedName name="попр_4" localSheetId="0">#REF!</definedName>
    <definedName name="попр_4">#REF!</definedName>
    <definedName name="попр_5" localSheetId="0">#REF!</definedName>
    <definedName name="попр_5">#REF!</definedName>
    <definedName name="прорлро" localSheetId="0">#REF!</definedName>
    <definedName name="прорлро">#REF!</definedName>
    <definedName name="прорлро_4" localSheetId="0">#REF!</definedName>
    <definedName name="прорлро_4">#REF!</definedName>
    <definedName name="прорлро_5" localSheetId="0">#REF!</definedName>
    <definedName name="прорлро_5">#REF!</definedName>
    <definedName name="рр" localSheetId="0">#REF!</definedName>
    <definedName name="рр">#REF!</definedName>
    <definedName name="рр_4" localSheetId="0">#REF!</definedName>
    <definedName name="рр_4">#REF!</definedName>
    <definedName name="рр_5" localSheetId="0">#REF!</definedName>
    <definedName name="рр_5">#REF!</definedName>
  </definedNames>
  <calcPr calcId="145621"/>
  <customWorkbookViews>
    <customWorkbookView name="Зеленская - Личное представление" guid="{168AF351-D3E1-41E7-895A-DFB0EE50CFF9}" mergeInterval="0" personalView="1" maximized="1" xWindow="-8" yWindow="-8" windowWidth="1936" windowHeight="1056" activeSheetId="1"/>
    <customWorkbookView name="Ясинская - Личное представление" guid="{EC43E0CC-E635-4854-A9E5-5B417B30459E}" mergeInterval="0" personalView="1" xWindow="15" yWindow="131" windowWidth="1259" windowHeight="380" tabRatio="609" activeSheetId="1"/>
    <customWorkbookView name="Ковальова - Личное представление" guid="{3FFF4174-2CBA-4501-ADCB-BD35267B3ADC}" mergeInterval="0" personalView="1" maximized="1" xWindow="1" yWindow="1" windowWidth="1392" windowHeight="671" tabRatio="609" activeSheetId="2"/>
    <customWorkbookView name="Шатковська - Личное представление" guid="{349B6510-CFFA-4B80-AD9E-5B1766AAFE00}" mergeInterval="0" personalView="1" maximized="1" xWindow="1" yWindow="1" windowWidth="1280" windowHeight="499" tabRatio="609" activeSheetId="2"/>
    <customWorkbookView name="Мачигіна - Личное представление" guid="{AA1234CA-557D-43C5-A518-6A11E8C1B2D9}" mergeInterval="0" personalView="1" maximized="1" xWindow="1" yWindow="1" windowWidth="1916" windowHeight="804" activeSheetId="1" showComments="commIndAndComment"/>
    <customWorkbookView name="Шовкун - Личное представление" guid="{1D008419-FE60-486A-93C6-B5F62B40269F}" mergeInterval="0" personalView="1" maximized="1" xWindow="1" yWindow="1" windowWidth="1362" windowHeight="538" activeSheetId="1"/>
    <customWorkbookView name="Юкальчук - Личное представление" guid="{468BE156-1D42-4568-9A20-94B105C0C7C5}" mergeInterval="0" personalView="1" maximized="1" xWindow="1" yWindow="1" windowWidth="1916" windowHeight="850" tabRatio="609" activeSheetId="1" showComments="commIndAndComment"/>
    <customWorkbookView name="user - Личное представление" guid="{FCC8DAD3-4A97-455A-BAE9-4D80D3CF9A41}" mergeInterval="0" personalView="1" maximized="1" xWindow="1" yWindow="1" windowWidth="1362" windowHeight="538" tabRatio="60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4" i="1" l="1"/>
  <c r="M62" i="1"/>
  <c r="N46" i="1"/>
  <c r="M43" i="1"/>
  <c r="M45" i="1" s="1"/>
  <c r="Q46" i="1"/>
  <c r="Q24" i="1"/>
  <c r="Q23" i="1"/>
  <c r="M23" i="1"/>
  <c r="M42" i="1" l="1"/>
  <c r="L67" i="1" l="1"/>
  <c r="L66" i="1"/>
  <c r="L62" i="1"/>
  <c r="J46" i="1"/>
  <c r="F21" i="1"/>
  <c r="H23" i="1" l="1"/>
  <c r="D21" i="1"/>
  <c r="D19" i="1"/>
  <c r="I62" i="1" l="1"/>
  <c r="I7" i="1" l="1"/>
  <c r="D43" i="1" l="1"/>
  <c r="F43" i="1"/>
  <c r="F42" i="1" s="1"/>
  <c r="E45" i="1"/>
  <c r="I66" i="1"/>
  <c r="I67" i="1" s="1"/>
  <c r="H67" i="1"/>
  <c r="G67" i="1"/>
  <c r="F67" i="1"/>
  <c r="G62" i="1"/>
  <c r="H62" i="1"/>
  <c r="E42" i="1"/>
  <c r="E62" i="1" l="1"/>
  <c r="F62" i="1"/>
  <c r="D23" i="1"/>
  <c r="G22" i="1"/>
  <c r="E22" i="1"/>
  <c r="E21" i="1"/>
  <c r="E19" i="1"/>
  <c r="D22" i="1"/>
  <c r="F26" i="1" l="1"/>
  <c r="E26" i="1"/>
  <c r="E27" i="1"/>
  <c r="F48" i="1"/>
  <c r="F23" i="1"/>
  <c r="F22" i="1" l="1"/>
  <c r="E20" i="1"/>
  <c r="F20" i="1"/>
  <c r="D62" i="1" l="1"/>
  <c r="D42" i="1"/>
  <c r="Q21" i="1"/>
  <c r="D20" i="1"/>
  <c r="N63" i="1" l="1"/>
  <c r="O64" i="1" s="1"/>
  <c r="O63" i="1"/>
  <c r="P64" i="1" s="1"/>
  <c r="P63" i="1"/>
  <c r="Q63" i="1"/>
  <c r="Q60" i="1"/>
  <c r="R60" i="1" s="1"/>
  <c r="Q59" i="1"/>
  <c r="Q58" i="1"/>
  <c r="J60" i="1"/>
  <c r="K60" i="1" s="1"/>
  <c r="T45" i="1"/>
  <c r="F41" i="1"/>
  <c r="Q37" i="1"/>
  <c r="Q36" i="1"/>
  <c r="J38" i="1"/>
  <c r="K38" i="1" s="1"/>
  <c r="T23" i="1"/>
  <c r="O21" i="1"/>
  <c r="P21" i="1"/>
  <c r="Q18" i="1"/>
  <c r="R18" i="1" s="1"/>
  <c r="Q17" i="1"/>
  <c r="Q16" i="1"/>
  <c r="J18" i="1"/>
  <c r="K18" i="1" s="1"/>
  <c r="S60" i="1" l="1"/>
  <c r="Q64" i="1"/>
  <c r="S18" i="1"/>
  <c r="D47" i="1" l="1"/>
  <c r="R59" i="1" l="1"/>
  <c r="J59" i="1"/>
  <c r="K59" i="1" s="1"/>
  <c r="T41" i="1"/>
  <c r="J37" i="1"/>
  <c r="K37" i="1" s="1"/>
  <c r="M21" i="1"/>
  <c r="N21" i="1"/>
  <c r="L21" i="1"/>
  <c r="R17" i="1"/>
  <c r="J17" i="1"/>
  <c r="S59" i="1" l="1"/>
  <c r="S17" i="1"/>
  <c r="K17" i="1"/>
  <c r="C7" i="1" l="1"/>
  <c r="R44" i="1"/>
  <c r="L23" i="1"/>
  <c r="R58" i="1" l="1"/>
  <c r="Q57" i="1"/>
  <c r="Q55" i="1"/>
  <c r="Q54" i="1"/>
  <c r="Q53" i="1"/>
  <c r="Q52" i="1"/>
  <c r="J58" i="1"/>
  <c r="K58" i="1" s="1"/>
  <c r="Q35" i="1"/>
  <c r="Q34" i="1"/>
  <c r="Q33" i="1"/>
  <c r="Q32" i="1"/>
  <c r="Q31" i="1"/>
  <c r="Q30" i="1"/>
  <c r="J36" i="1"/>
  <c r="K36" i="1" s="1"/>
  <c r="R16" i="1"/>
  <c r="Q15" i="1"/>
  <c r="Q14" i="1"/>
  <c r="Q13" i="1"/>
  <c r="Q12" i="1"/>
  <c r="Q11" i="1"/>
  <c r="J16" i="1"/>
  <c r="K16" i="1" s="1"/>
  <c r="J19" i="1"/>
  <c r="S58" i="1" l="1"/>
  <c r="S16" i="1"/>
  <c r="C20" i="1"/>
  <c r="T6" i="1" l="1"/>
  <c r="C62" i="1" l="1"/>
  <c r="J44" i="1"/>
  <c r="C45" i="1"/>
  <c r="K44" i="1" l="1"/>
  <c r="S44" i="1"/>
  <c r="U44" i="1" s="1"/>
  <c r="C23" i="1" l="1"/>
  <c r="R22" i="1"/>
  <c r="J22" i="1"/>
  <c r="C6" i="1" l="1"/>
  <c r="N24" i="1"/>
  <c r="N23" i="1"/>
  <c r="O24" i="1" s="1"/>
  <c r="O23" i="1"/>
  <c r="P24" i="1" s="1"/>
  <c r="S22" i="1"/>
  <c r="U22" i="1" s="1"/>
  <c r="K22" i="1"/>
  <c r="D26" i="1" l="1"/>
  <c r="R57" i="1" l="1"/>
  <c r="Q56" i="1"/>
  <c r="J57" i="1"/>
  <c r="K57" i="1" s="1"/>
  <c r="S57" i="1" l="1"/>
  <c r="J35" i="1" l="1"/>
  <c r="K35" i="1" s="1"/>
  <c r="J15" i="1"/>
  <c r="R15" i="1"/>
  <c r="S15" i="1" l="1"/>
  <c r="K15" i="1"/>
  <c r="F66" i="1" l="1"/>
  <c r="E66" i="1"/>
  <c r="I41" i="1"/>
  <c r="I39" i="1" s="1"/>
  <c r="I42" i="1" s="1"/>
  <c r="H41" i="1"/>
  <c r="H39" i="1" s="1"/>
  <c r="G41" i="1"/>
  <c r="G39" i="1" s="1"/>
  <c r="F39" i="1"/>
  <c r="E41" i="1"/>
  <c r="E39" i="1" s="1"/>
  <c r="D41" i="1"/>
  <c r="D39" i="1" s="1"/>
  <c r="C41" i="1"/>
  <c r="D27" i="1"/>
  <c r="F45" i="1" l="1"/>
  <c r="I45" i="1"/>
  <c r="C39" i="1"/>
  <c r="R37" i="1" l="1"/>
  <c r="S37" i="1" s="1"/>
  <c r="Q38" i="1"/>
  <c r="R38" i="1" s="1"/>
  <c r="S38" i="1" s="1"/>
  <c r="F6" i="1"/>
  <c r="C42" i="1"/>
  <c r="R36" i="1"/>
  <c r="S36" i="1" s="1"/>
  <c r="R35" i="1"/>
  <c r="S35" i="1" s="1"/>
  <c r="M41" i="1" l="1"/>
  <c r="M39" i="1" s="1"/>
  <c r="N41" i="1"/>
  <c r="O41" i="1"/>
  <c r="O39" i="1" s="1"/>
  <c r="O43" i="1" s="1"/>
  <c r="P41" i="1"/>
  <c r="P39" i="1" s="1"/>
  <c r="P43" i="1" s="1"/>
  <c r="Q41" i="1"/>
  <c r="Q39" i="1" s="1"/>
  <c r="Q43" i="1" s="1"/>
  <c r="L41" i="1"/>
  <c r="L39" i="1" s="1"/>
  <c r="N39" i="1" l="1"/>
  <c r="N43" i="1" s="1"/>
  <c r="N45" i="1" s="1"/>
  <c r="O46" i="1" s="1"/>
  <c r="P45" i="1"/>
  <c r="O45" i="1"/>
  <c r="P46" i="1" s="1"/>
  <c r="M6" i="1" l="1"/>
  <c r="N7" i="1"/>
  <c r="N6" i="1"/>
  <c r="O6" i="1"/>
  <c r="Q45" i="1"/>
  <c r="Q6" i="1" l="1"/>
  <c r="J56" i="1" l="1"/>
  <c r="K56" i="1" s="1"/>
  <c r="R56" i="1"/>
  <c r="R34" i="1"/>
  <c r="J34" i="1"/>
  <c r="R14" i="1"/>
  <c r="J14" i="1"/>
  <c r="S14" i="1" l="1"/>
  <c r="S34" i="1"/>
  <c r="S56" i="1"/>
  <c r="K14" i="1"/>
  <c r="K34" i="1"/>
  <c r="R65" i="1" l="1"/>
  <c r="R47" i="1"/>
  <c r="J47" i="1"/>
  <c r="R25" i="1"/>
  <c r="J25" i="1" l="1"/>
  <c r="K25" i="1" s="1"/>
  <c r="J65" i="1"/>
  <c r="K65" i="1" s="1"/>
  <c r="S47" i="1"/>
  <c r="T46" i="1" s="1"/>
  <c r="K47" i="1"/>
  <c r="S25" i="1" l="1"/>
  <c r="T24" i="1" s="1"/>
  <c r="S65" i="1"/>
  <c r="T64" i="1" s="1"/>
  <c r="T7" i="1" l="1"/>
  <c r="R55" i="1" l="1"/>
  <c r="J55" i="1"/>
  <c r="R33" i="1"/>
  <c r="J33" i="1"/>
  <c r="R13" i="1"/>
  <c r="J13" i="1"/>
  <c r="S13" i="1" l="1"/>
  <c r="S33" i="1"/>
  <c r="S55" i="1"/>
  <c r="K33" i="1"/>
  <c r="K55" i="1"/>
  <c r="K13" i="1"/>
  <c r="C8" i="1" l="1"/>
  <c r="C9" i="1"/>
  <c r="C10" i="1"/>
  <c r="C11" i="1"/>
  <c r="Q10" i="1" s="1"/>
  <c r="N26" i="1" l="1"/>
  <c r="R54" i="1" l="1"/>
  <c r="J54" i="1"/>
  <c r="R32" i="1"/>
  <c r="J32" i="1"/>
  <c r="R12" i="1"/>
  <c r="J12" i="1"/>
  <c r="S12" i="1" l="1"/>
  <c r="S54" i="1"/>
  <c r="S32" i="1"/>
  <c r="K54" i="1"/>
  <c r="K12" i="1"/>
  <c r="K32" i="1"/>
  <c r="R53" i="1" l="1"/>
  <c r="J53" i="1"/>
  <c r="R31" i="1"/>
  <c r="J31" i="1"/>
  <c r="R11" i="1"/>
  <c r="J11" i="1"/>
  <c r="S31" i="1" l="1"/>
  <c r="S53" i="1"/>
  <c r="S11" i="1"/>
  <c r="K11" i="1"/>
  <c r="K31" i="1"/>
  <c r="K53" i="1"/>
  <c r="R61" i="1" l="1"/>
  <c r="J61" i="1"/>
  <c r="S61" i="1" l="1"/>
  <c r="K61" i="1"/>
  <c r="J30" i="1"/>
  <c r="R10" i="1"/>
  <c r="J10" i="1"/>
  <c r="K10" i="1" s="1"/>
  <c r="R52" i="1"/>
  <c r="J52" i="1"/>
  <c r="Q51" i="1"/>
  <c r="R51" i="1" s="1"/>
  <c r="J51" i="1"/>
  <c r="Q50" i="1"/>
  <c r="R50" i="1" s="1"/>
  <c r="J50" i="1"/>
  <c r="R41" i="1"/>
  <c r="J41" i="1"/>
  <c r="R40" i="1"/>
  <c r="J40" i="1"/>
  <c r="R29" i="1"/>
  <c r="J29" i="1"/>
  <c r="R28" i="1"/>
  <c r="J28" i="1"/>
  <c r="R19" i="1"/>
  <c r="R9" i="1"/>
  <c r="J9" i="1"/>
  <c r="R8" i="1"/>
  <c r="J8" i="1"/>
  <c r="U61" i="1" l="1"/>
  <c r="N66" i="1"/>
  <c r="S28" i="1"/>
  <c r="S40" i="1"/>
  <c r="S50" i="1"/>
  <c r="S9" i="1"/>
  <c r="S8" i="1"/>
  <c r="S19" i="1"/>
  <c r="S29" i="1"/>
  <c r="S41" i="1"/>
  <c r="S51" i="1"/>
  <c r="S10" i="1"/>
  <c r="K30" i="1"/>
  <c r="K8" i="1"/>
  <c r="K9" i="1"/>
  <c r="K19" i="1"/>
  <c r="K28" i="1"/>
  <c r="K29" i="1"/>
  <c r="J39" i="1"/>
  <c r="R39" i="1"/>
  <c r="K40" i="1"/>
  <c r="K41" i="1"/>
  <c r="K50" i="1"/>
  <c r="K51" i="1"/>
  <c r="K52" i="1"/>
  <c r="S52" i="1"/>
  <c r="U19" i="1" l="1"/>
  <c r="T62" i="1"/>
  <c r="R30" i="1"/>
  <c r="S30" i="1" s="1"/>
  <c r="S39" i="1"/>
  <c r="K39" i="1"/>
  <c r="T39" i="1" l="1"/>
  <c r="U40" i="1"/>
  <c r="U41" i="1"/>
  <c r="U39" i="1" l="1"/>
  <c r="T42" i="1" l="1"/>
  <c r="T20" i="1" l="1"/>
  <c r="R63" i="1" l="1"/>
  <c r="R62" i="1" s="1"/>
  <c r="N48" i="1" l="1"/>
  <c r="D66" i="1" l="1"/>
  <c r="D67" i="1" l="1"/>
  <c r="E67" i="1" s="1"/>
  <c r="G66" i="1" l="1"/>
  <c r="O66" i="1" l="1"/>
  <c r="P66" i="1"/>
  <c r="M66" i="1"/>
  <c r="R64" i="1" l="1"/>
  <c r="R67" i="1"/>
  <c r="Q66" i="1"/>
  <c r="R66" i="1" l="1"/>
  <c r="D45" i="1" l="1"/>
  <c r="H48" i="1" l="1"/>
  <c r="G48" i="1"/>
  <c r="D7" i="1"/>
  <c r="D6" i="1"/>
  <c r="P48" i="1" l="1"/>
  <c r="O48" i="1"/>
  <c r="E7" i="1"/>
  <c r="E48" i="1"/>
  <c r="D48" i="1"/>
  <c r="D49" i="1" l="1"/>
  <c r="E49" i="1" s="1"/>
  <c r="F49" i="1" s="1"/>
  <c r="G49" i="1" s="1"/>
  <c r="H49" i="1" s="1"/>
  <c r="Q48" i="1" l="1"/>
  <c r="E23" i="1" l="1"/>
  <c r="F27" i="1" l="1"/>
  <c r="F7" i="1"/>
  <c r="H26" i="1"/>
  <c r="G26" i="1"/>
  <c r="G7" i="1"/>
  <c r="E6" i="1"/>
  <c r="I26" i="1" l="1"/>
  <c r="J26" i="1" s="1"/>
  <c r="J27" i="1"/>
  <c r="K27" i="1" s="1"/>
  <c r="J24" i="1"/>
  <c r="K24" i="1" s="1"/>
  <c r="G27" i="1"/>
  <c r="H27" i="1" s="1"/>
  <c r="P7" i="1" l="1"/>
  <c r="P26" i="1"/>
  <c r="O7" i="1"/>
  <c r="O26" i="1"/>
  <c r="M26" i="1"/>
  <c r="I27" i="1"/>
  <c r="K26" i="1"/>
  <c r="P23" i="1" l="1"/>
  <c r="R21" i="1"/>
  <c r="R20" i="1" s="1"/>
  <c r="P6" i="1" l="1"/>
  <c r="R23" i="1"/>
  <c r="Q26" i="1" l="1"/>
  <c r="Q7" i="1"/>
  <c r="J63" i="1" l="1"/>
  <c r="J62" i="1" s="1"/>
  <c r="J67" i="1"/>
  <c r="K67" i="1" l="1"/>
  <c r="S67" i="1"/>
  <c r="H66" i="1"/>
  <c r="J64" i="1"/>
  <c r="H7" i="1"/>
  <c r="S63" i="1"/>
  <c r="K63" i="1"/>
  <c r="K62" i="1" s="1"/>
  <c r="H76" i="1" l="1"/>
  <c r="S62" i="1"/>
  <c r="U63" i="1"/>
  <c r="U62" i="1" s="1"/>
  <c r="J66" i="1"/>
  <c r="M67" i="1"/>
  <c r="N67" i="1" s="1"/>
  <c r="O67" i="1" s="1"/>
  <c r="P67" i="1" s="1"/>
  <c r="Q67" i="1" s="1"/>
  <c r="K64" i="1"/>
  <c r="S64" i="1"/>
  <c r="U64" i="1" s="1"/>
  <c r="S66" i="1" l="1"/>
  <c r="K66" i="1"/>
  <c r="V64" i="1"/>
  <c r="L48" i="1" l="1"/>
  <c r="H45" i="1"/>
  <c r="H42" i="1"/>
  <c r="I48" i="1" l="1"/>
  <c r="J48" i="1" s="1"/>
  <c r="J49" i="1"/>
  <c r="I49" i="1" l="1"/>
  <c r="L49" i="1" s="1"/>
  <c r="J7" i="1"/>
  <c r="K49" i="1"/>
  <c r="K46" i="1"/>
  <c r="K48" i="1"/>
  <c r="G45" i="1"/>
  <c r="J45" i="1" s="1"/>
  <c r="G42" i="1"/>
  <c r="J43" i="1"/>
  <c r="J42" i="1" s="1"/>
  <c r="K7" i="1" l="1"/>
  <c r="K45" i="1"/>
  <c r="K43" i="1"/>
  <c r="K42" i="1" s="1"/>
  <c r="G20" i="1" l="1"/>
  <c r="G23" i="1"/>
  <c r="G6" i="1"/>
  <c r="H20" i="1"/>
  <c r="H6" i="1"/>
  <c r="J21" i="1"/>
  <c r="J20" i="1" s="1"/>
  <c r="I23" i="1"/>
  <c r="I6" i="1" s="1"/>
  <c r="J6" i="1" s="1"/>
  <c r="L26" i="1"/>
  <c r="I20" i="1"/>
  <c r="L27" i="1" l="1"/>
  <c r="M27" i="1" s="1"/>
  <c r="N27" i="1" s="1"/>
  <c r="O27" i="1" s="1"/>
  <c r="P27" i="1" s="1"/>
  <c r="Q27" i="1" s="1"/>
  <c r="R26" i="1"/>
  <c r="S26" i="1" s="1"/>
  <c r="K6" i="1"/>
  <c r="R24" i="1"/>
  <c r="S24" i="1" s="1"/>
  <c r="R27" i="1"/>
  <c r="S27" i="1" s="1"/>
  <c r="K21" i="1"/>
  <c r="K20" i="1" s="1"/>
  <c r="J23" i="1"/>
  <c r="L7" i="1"/>
  <c r="S21" i="1"/>
  <c r="U24" i="1" l="1"/>
  <c r="V24" i="1"/>
  <c r="S20" i="1"/>
  <c r="U21" i="1"/>
  <c r="U20" i="1" s="1"/>
  <c r="K23" i="1"/>
  <c r="S23" i="1"/>
  <c r="U23" i="1" l="1"/>
  <c r="R43" i="1" l="1"/>
  <c r="S43" i="1" s="1"/>
  <c r="L45" i="1"/>
  <c r="R45" i="1" s="1"/>
  <c r="S45" i="1" s="1"/>
  <c r="L42" i="1"/>
  <c r="S42" i="1" l="1"/>
  <c r="U43" i="1"/>
  <c r="U42" i="1" s="1"/>
  <c r="U45" i="1"/>
  <c r="R42" i="1"/>
  <c r="L6" i="1"/>
  <c r="R6" i="1" s="1"/>
  <c r="S6" i="1" s="1"/>
  <c r="U6" i="1" s="1"/>
  <c r="R49" i="1" l="1"/>
  <c r="S49" i="1" s="1"/>
  <c r="M48" i="1"/>
  <c r="R46" i="1"/>
  <c r="S46" i="1" s="1"/>
  <c r="M7" i="1"/>
  <c r="R7" i="1" s="1"/>
  <c r="S7" i="1" s="1"/>
  <c r="U7" i="1" s="1"/>
  <c r="U46" i="1" l="1"/>
  <c r="V46" i="1"/>
  <c r="R48" i="1"/>
  <c r="S48" i="1" s="1"/>
  <c r="M49" i="1"/>
  <c r="N49" i="1" s="1"/>
  <c r="O49" i="1" s="1"/>
  <c r="P49" i="1" s="1"/>
  <c r="Q49" i="1" s="1"/>
</calcChain>
</file>

<file path=xl/sharedStrings.xml><?xml version="1.0" encoding="utf-8"?>
<sst xmlns="http://schemas.openxmlformats.org/spreadsheetml/2006/main" count="90" uniqueCount="50">
  <si>
    <t>очікуване споживання</t>
  </si>
  <si>
    <t>план на рік з урахуванням змін</t>
  </si>
  <si>
    <t>відхилення</t>
  </si>
  <si>
    <t>оплата за 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</si>
  <si>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</si>
  <si>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</si>
  <si>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</si>
  <si>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</si>
  <si>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</si>
  <si>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</si>
  <si>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1 півріччя</t>
  </si>
  <si>
    <t>середнє</t>
  </si>
  <si>
    <t>липень</t>
  </si>
  <si>
    <t>серпень</t>
  </si>
  <si>
    <t>вересень</t>
  </si>
  <si>
    <t>жовтень</t>
  </si>
  <si>
    <t>листопад</t>
  </si>
  <si>
    <t>грудень</t>
  </si>
  <si>
    <t>2 півріччя</t>
  </si>
  <si>
    <t>всього</t>
  </si>
  <si>
    <t>касові видатки</t>
  </si>
  <si>
    <t>сума, тис.грн.</t>
  </si>
  <si>
    <t>тариф, грн.</t>
  </si>
  <si>
    <t>2271 (1161)</t>
  </si>
  <si>
    <t>2272 (1162)</t>
  </si>
  <si>
    <t>2273 (1163)</t>
  </si>
  <si>
    <t>водопостачання</t>
  </si>
  <si>
    <t>водовідведення</t>
  </si>
  <si>
    <t xml:space="preserve">план </t>
  </si>
  <si>
    <t>відхилення з нарастаючим</t>
  </si>
  <si>
    <t>нат.п-ки 2014</t>
  </si>
  <si>
    <t>нат.п-ки 2015</t>
  </si>
  <si>
    <t>нат.п-ки 2016</t>
  </si>
  <si>
    <t>нат.п-ки 2017</t>
  </si>
  <si>
    <t>нат.п-ки 2018</t>
  </si>
  <si>
    <t>нат.п-ки 2019</t>
  </si>
  <si>
    <t>06 Департамент освіти і науки Запорізької міської ради</t>
  </si>
  <si>
    <t>нат.п-ки 2020</t>
  </si>
  <si>
    <t>нат.п-ки 2021</t>
  </si>
  <si>
    <t>нат.п-ки 2022</t>
  </si>
  <si>
    <t>абонплата, тис.грн.</t>
  </si>
  <si>
    <t>разом сума, тис.грн.</t>
  </si>
  <si>
    <t>нат.п-ки 2023</t>
  </si>
  <si>
    <t>касові видатки, тис.грн.</t>
  </si>
  <si>
    <t xml:space="preserve">КЕКВ </t>
  </si>
  <si>
    <t>нат.п-ки 2024</t>
  </si>
  <si>
    <t>нат.п-ки 2025</t>
  </si>
  <si>
    <t>Заступник директора департаменту з економічних питань</t>
  </si>
  <si>
    <t>Ксенія ГУГАЙЛО</t>
  </si>
  <si>
    <t xml:space="preserve">Аналіз споживання комунальних послуг та енергоносіїв в 2025 році по загальному фонду станом на 01.09.2025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</si>
</sst>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%#.00"/>
    <numFmt numFmtId="165" formatCode="_-* #,##0_р_._-;\-* #,##0_р_._-;_-* \-_р_._-;_-@_-"/>
    <numFmt numFmtId="166" formatCode="#.00"/>
    <numFmt numFmtId="167" formatCode="\$#.00"/>
    <numFmt numFmtId="168" formatCode="0.000"/>
    <numFmt numFmtId="169" formatCode="0.00000"/>
    <numFmt numFmtId="170" formatCode="_-* #,##0.00\ _р_._-;\-* #,##0.00\ _р_._-;_-* &quot;-&quot;??\ _р_._-;_-@_-"/>
    <numFmt numFmtId="171" formatCode="0.0"/>
    <numFmt numFmtId="172" formatCode="#,##0.000"/>
  </numFmts>
  <fonts count="45">
    <font>
      <sz val="10"/>
      <name val="Arial Cyr"/>
      <family val="2"/>
      <charset val="204"/>
    </font>
    <font>
      <sz val="1"/>
      <color indexed="8"/>
      <name val="Courier New"/>
      <family val="1"/>
      <charset val="204"/>
    </font>
    <font>
      <i/>
      <sz val="1"/>
      <color indexed="8"/>
      <name val="Courier New"/>
      <family val="1"/>
      <charset val="204"/>
    </font>
    <font>
      <sz val="12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"/>
      <color indexed="8"/>
      <name val="Courier New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indexed="54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8"/>
      <color indexed="49"/>
      <name val="Cambria"/>
      <family val="2"/>
      <charset val="204"/>
    </font>
    <font>
      <sz val="11"/>
      <color indexed="19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23"/>
      <name val="Calibri"/>
      <family val="2"/>
      <charset val="204"/>
    </font>
    <font>
      <sz val="10"/>
      <name val="Helv"/>
      <charset val="204"/>
    </font>
    <font>
      <i/>
      <sz val="11"/>
      <color indexed="63"/>
      <name val="Calibri"/>
      <family val="2"/>
      <charset val="204"/>
    </font>
    <font>
      <sz val="12"/>
      <name val="UkrainianPragmatica"/>
      <charset val="204"/>
    </font>
    <font>
      <sz val="11"/>
      <color indexed="8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8"/>
      <color rgb="FFC0000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60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41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7"/>
      </patternFill>
    </fill>
    <fill>
      <patternFill patternType="solid">
        <fgColor indexed="50"/>
        <bgColor indexed="27"/>
      </patternFill>
    </fill>
    <fill>
      <patternFill patternType="solid">
        <fgColor indexed="41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FF"/>
        <bgColor indexed="64"/>
      </patternFill>
    </fill>
  </fills>
  <borders count="126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13">
    <xf numFmtId="0" fontId="0" fillId="0" borderId="0"/>
    <xf numFmtId="0" fontId="1" fillId="0" borderId="1">
      <protection locked="0"/>
    </xf>
    <xf numFmtId="4" fontId="1" fillId="0" borderId="0">
      <protection locked="0"/>
    </xf>
    <xf numFmtId="166" fontId="1" fillId="0" borderId="0">
      <protection locked="0"/>
    </xf>
    <xf numFmtId="167" fontId="1" fillId="0" borderId="0">
      <protection locked="0"/>
    </xf>
    <xf numFmtId="0" fontId="1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1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4" borderId="0" applyNumberFormat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2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2" fillId="0" borderId="0">
      <protection locked="0"/>
    </xf>
    <xf numFmtId="0" fontId="3" fillId="0" borderId="0"/>
    <xf numFmtId="0" fontId="8" fillId="0" borderId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25" fillId="4" borderId="2" applyNumberFormat="0" applyAlignment="0" applyProtection="0"/>
    <xf numFmtId="0" fontId="10" fillId="6" borderId="3" applyNumberFormat="0" applyAlignment="0" applyProtection="0"/>
    <xf numFmtId="0" fontId="11" fillId="2" borderId="2" applyNumberFormat="0" applyAlignment="0" applyProtection="0"/>
    <xf numFmtId="0" fontId="26" fillId="2" borderId="3" applyNumberFormat="0" applyAlignment="0" applyProtection="0"/>
    <xf numFmtId="0" fontId="23" fillId="21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24" fillId="0" borderId="0"/>
    <xf numFmtId="0" fontId="21" fillId="0" borderId="7" applyNumberFormat="0" applyFill="0" applyAlignment="0" applyProtection="0"/>
    <xf numFmtId="0" fontId="16" fillId="0" borderId="8" applyNumberFormat="0" applyFill="0" applyAlignment="0" applyProtection="0"/>
    <xf numFmtId="0" fontId="17" fillId="15" borderId="9" applyNumberFormat="0" applyAlignment="0" applyProtection="0"/>
    <xf numFmtId="0" fontId="17" fillId="15" borderId="10" applyNumberFormat="0" applyAlignment="0" applyProtection="0"/>
    <xf numFmtId="0" fontId="2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2" fillId="9" borderId="2" applyNumberFormat="0" applyAlignment="0" applyProtection="0"/>
    <xf numFmtId="0" fontId="4" fillId="0" borderId="0"/>
    <xf numFmtId="0" fontId="5" fillId="0" borderId="0"/>
    <xf numFmtId="0" fontId="4" fillId="0" borderId="0"/>
    <xf numFmtId="0" fontId="2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20" fillId="0" borderId="0" applyNumberFormat="0" applyFill="0" applyBorder="0" applyAlignment="0" applyProtection="0"/>
    <xf numFmtId="0" fontId="29" fillId="7" borderId="12" applyNumberFormat="0" applyFont="0" applyAlignment="0" applyProtection="0"/>
    <xf numFmtId="0" fontId="24" fillId="7" borderId="12" applyNumberFormat="0" applyFont="0" applyAlignment="0" applyProtection="0"/>
    <xf numFmtId="0" fontId="30" fillId="9" borderId="3" applyNumberFormat="0" applyAlignment="0" applyProtection="0"/>
    <xf numFmtId="0" fontId="22" fillId="0" borderId="13" applyNumberFormat="0" applyFill="0" applyAlignment="0" applyProtection="0"/>
    <xf numFmtId="0" fontId="28" fillId="6" borderId="0" applyNumberFormat="0" applyBorder="0" applyAlignment="0" applyProtection="0"/>
    <xf numFmtId="0" fontId="5" fillId="0" borderId="0"/>
    <xf numFmtId="0" fontId="31" fillId="0" borderId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5" fontId="8" fillId="0" borderId="0" applyFill="0" applyBorder="0" applyAlignment="0" applyProtection="0"/>
    <xf numFmtId="170" fontId="33" fillId="0" borderId="0" applyFont="0" applyFill="0" applyBorder="0" applyAlignment="0" applyProtection="0"/>
    <xf numFmtId="0" fontId="23" fillId="8" borderId="0" applyNumberFormat="0" applyBorder="0" applyAlignment="0" applyProtection="0"/>
    <xf numFmtId="164" fontId="1" fillId="0" borderId="0">
      <protection locked="0"/>
    </xf>
    <xf numFmtId="0" fontId="5" fillId="7" borderId="12" applyNumberFormat="0" applyFont="0" applyAlignment="0" applyProtection="0"/>
  </cellStyleXfs>
  <cellXfs count="258">
    <xf numFmtId="0" fontId="0" fillId="0" borderId="0" xfId="0"/>
    <xf numFmtId="0" fontId="34" fillId="0" borderId="44" xfId="0" applyFont="1" applyFill="1" applyBorder="1"/>
    <xf numFmtId="168" fontId="34" fillId="0" borderId="44" xfId="0" applyNumberFormat="1" applyFont="1" applyFill="1" applyBorder="1"/>
    <xf numFmtId="168" fontId="35" fillId="0" borderId="44" xfId="0" applyNumberFormat="1" applyFont="1" applyFill="1" applyBorder="1"/>
    <xf numFmtId="168" fontId="36" fillId="0" borderId="44" xfId="0" applyNumberFormat="1" applyFont="1" applyFill="1" applyBorder="1"/>
    <xf numFmtId="168" fontId="34" fillId="0" borderId="49" xfId="0" applyNumberFormat="1" applyFont="1" applyFill="1" applyBorder="1"/>
    <xf numFmtId="168" fontId="34" fillId="0" borderId="43" xfId="0" applyNumberFormat="1" applyFont="1" applyFill="1" applyBorder="1"/>
    <xf numFmtId="168" fontId="35" fillId="0" borderId="49" xfId="0" applyNumberFormat="1" applyFont="1" applyFill="1" applyBorder="1"/>
    <xf numFmtId="168" fontId="36" fillId="0" borderId="49" xfId="0" applyNumberFormat="1" applyFont="1" applyFill="1" applyBorder="1"/>
    <xf numFmtId="0" fontId="37" fillId="25" borderId="32" xfId="0" applyFont="1" applyFill="1" applyBorder="1" applyAlignment="1" applyProtection="1">
      <alignment horizontal="center"/>
      <protection locked="0"/>
    </xf>
    <xf numFmtId="0" fontId="37" fillId="25" borderId="33" xfId="0" applyFont="1" applyFill="1" applyBorder="1" applyAlignment="1" applyProtection="1">
      <alignment horizontal="center"/>
      <protection locked="0"/>
    </xf>
    <xf numFmtId="0" fontId="37" fillId="25" borderId="26" xfId="0" applyFont="1" applyFill="1" applyBorder="1" applyAlignment="1" applyProtection="1">
      <alignment horizontal="center"/>
      <protection locked="0"/>
    </xf>
    <xf numFmtId="0" fontId="36" fillId="0" borderId="0" xfId="0" applyFont="1" applyBorder="1" applyProtection="1">
      <protection locked="0"/>
    </xf>
    <xf numFmtId="0" fontId="36" fillId="25" borderId="27" xfId="0" applyFont="1" applyFill="1" applyBorder="1" applyProtection="1">
      <protection locked="0"/>
    </xf>
    <xf numFmtId="168" fontId="37" fillId="31" borderId="15" xfId="0" applyNumberFormat="1" applyFont="1" applyFill="1" applyBorder="1" applyProtection="1">
      <protection locked="0"/>
    </xf>
    <xf numFmtId="168" fontId="37" fillId="31" borderId="16" xfId="0" applyNumberFormat="1" applyFont="1" applyFill="1" applyBorder="1" applyProtection="1">
      <protection locked="0"/>
    </xf>
    <xf numFmtId="0" fontId="36" fillId="25" borderId="31" xfId="0" applyFont="1" applyFill="1" applyBorder="1" applyProtection="1">
      <protection locked="0"/>
    </xf>
    <xf numFmtId="168" fontId="37" fillId="31" borderId="24" xfId="0" applyNumberFormat="1" applyFont="1" applyFill="1" applyBorder="1" applyProtection="1">
      <protection locked="0"/>
    </xf>
    <xf numFmtId="168" fontId="37" fillId="31" borderId="37" xfId="0" applyNumberFormat="1" applyFont="1" applyFill="1" applyBorder="1" applyProtection="1">
      <protection locked="0"/>
    </xf>
    <xf numFmtId="0" fontId="36" fillId="25" borderId="35" xfId="0" applyFont="1" applyFill="1" applyBorder="1" applyProtection="1">
      <protection locked="0"/>
    </xf>
    <xf numFmtId="168" fontId="36" fillId="0" borderId="74" xfId="0" applyNumberFormat="1" applyFont="1" applyFill="1" applyBorder="1" applyProtection="1">
      <protection locked="0"/>
    </xf>
    <xf numFmtId="168" fontId="36" fillId="0" borderId="75" xfId="0" applyNumberFormat="1" applyFont="1" applyFill="1" applyBorder="1" applyProtection="1">
      <protection locked="0"/>
    </xf>
    <xf numFmtId="168" fontId="36" fillId="0" borderId="76" xfId="0" applyNumberFormat="1" applyFont="1" applyFill="1" applyBorder="1" applyProtection="1">
      <protection locked="0"/>
    </xf>
    <xf numFmtId="0" fontId="36" fillId="25" borderId="56" xfId="0" applyFont="1" applyFill="1" applyBorder="1" applyProtection="1">
      <protection locked="0"/>
    </xf>
    <xf numFmtId="168" fontId="36" fillId="0" borderId="43" xfId="0" applyNumberFormat="1" applyFont="1" applyFill="1" applyBorder="1" applyProtection="1">
      <protection locked="0"/>
    </xf>
    <xf numFmtId="168" fontId="36" fillId="0" borderId="44" xfId="0" applyNumberFormat="1" applyFont="1" applyFill="1" applyBorder="1" applyProtection="1">
      <protection locked="0"/>
    </xf>
    <xf numFmtId="168" fontId="36" fillId="0" borderId="48" xfId="0" applyNumberFormat="1" applyFont="1" applyFill="1" applyBorder="1" applyProtection="1">
      <protection locked="0"/>
    </xf>
    <xf numFmtId="168" fontId="36" fillId="0" borderId="41" xfId="0" applyNumberFormat="1" applyFont="1" applyFill="1" applyBorder="1" applyProtection="1">
      <protection locked="0"/>
    </xf>
    <xf numFmtId="168" fontId="38" fillId="26" borderId="41" xfId="0" applyNumberFormat="1" applyFont="1" applyFill="1" applyBorder="1" applyProtection="1">
      <protection locked="0"/>
    </xf>
    <xf numFmtId="168" fontId="36" fillId="0" borderId="53" xfId="0" applyNumberFormat="1" applyFont="1" applyFill="1" applyBorder="1" applyProtection="1">
      <protection locked="0"/>
    </xf>
    <xf numFmtId="168" fontId="37" fillId="23" borderId="50" xfId="0" applyNumberFormat="1" applyFont="1" applyFill="1" applyBorder="1" applyProtection="1">
      <protection locked="0"/>
    </xf>
    <xf numFmtId="168" fontId="37" fillId="23" borderId="51" xfId="0" applyNumberFormat="1" applyFont="1" applyFill="1" applyBorder="1" applyProtection="1">
      <protection locked="0"/>
    </xf>
    <xf numFmtId="168" fontId="38" fillId="26" borderId="51" xfId="0" applyNumberFormat="1" applyFont="1" applyFill="1" applyBorder="1" applyProtection="1">
      <protection locked="0"/>
    </xf>
    <xf numFmtId="0" fontId="36" fillId="25" borderId="77" xfId="0" applyFont="1" applyFill="1" applyBorder="1" applyProtection="1">
      <protection locked="0"/>
    </xf>
    <xf numFmtId="168" fontId="38" fillId="26" borderId="47" xfId="0" applyNumberFormat="1" applyFont="1" applyFill="1" applyBorder="1" applyProtection="1">
      <protection locked="0"/>
    </xf>
    <xf numFmtId="0" fontId="36" fillId="30" borderId="35" xfId="0" applyFont="1" applyFill="1" applyBorder="1" applyProtection="1">
      <protection locked="0"/>
    </xf>
    <xf numFmtId="168" fontId="36" fillId="28" borderId="73" xfId="0" applyNumberFormat="1" applyFont="1" applyFill="1" applyBorder="1" applyProtection="1">
      <protection locked="0"/>
    </xf>
    <xf numFmtId="168" fontId="36" fillId="28" borderId="74" xfId="0" applyNumberFormat="1" applyFont="1" applyFill="1" applyBorder="1" applyProtection="1">
      <protection locked="0"/>
    </xf>
    <xf numFmtId="168" fontId="37" fillId="28" borderId="72" xfId="0" applyNumberFormat="1" applyFont="1" applyFill="1" applyBorder="1" applyProtection="1">
      <protection locked="0"/>
    </xf>
    <xf numFmtId="168" fontId="37" fillId="28" borderId="76" xfId="0" applyNumberFormat="1" applyFont="1" applyFill="1" applyBorder="1" applyProtection="1">
      <protection locked="0"/>
    </xf>
    <xf numFmtId="168" fontId="38" fillId="28" borderId="76" xfId="0" applyNumberFormat="1" applyFont="1" applyFill="1" applyBorder="1" applyProtection="1">
      <protection locked="0"/>
    </xf>
    <xf numFmtId="0" fontId="36" fillId="30" borderId="56" xfId="0" applyFont="1" applyFill="1" applyBorder="1" applyProtection="1">
      <protection locked="0"/>
    </xf>
    <xf numFmtId="168" fontId="36" fillId="28" borderId="43" xfId="0" applyNumberFormat="1" applyFont="1" applyFill="1" applyBorder="1" applyProtection="1">
      <protection locked="0"/>
    </xf>
    <xf numFmtId="168" fontId="36" fillId="28" borderId="44" xfId="0" applyNumberFormat="1" applyFont="1" applyFill="1" applyBorder="1" applyProtection="1">
      <protection locked="0"/>
    </xf>
    <xf numFmtId="168" fontId="36" fillId="28" borderId="49" xfId="0" applyNumberFormat="1" applyFont="1" applyFill="1" applyBorder="1" applyProtection="1">
      <protection locked="0"/>
    </xf>
    <xf numFmtId="168" fontId="38" fillId="28" borderId="41" xfId="0" applyNumberFormat="1" applyFont="1" applyFill="1" applyBorder="1" applyProtection="1">
      <protection locked="0"/>
    </xf>
    <xf numFmtId="0" fontId="36" fillId="30" borderId="31" xfId="0" applyFont="1" applyFill="1" applyBorder="1" applyProtection="1">
      <protection locked="0"/>
    </xf>
    <xf numFmtId="168" fontId="36" fillId="28" borderId="57" xfId="0" applyNumberFormat="1" applyFont="1" applyFill="1" applyBorder="1" applyProtection="1">
      <protection locked="0"/>
    </xf>
    <xf numFmtId="168" fontId="36" fillId="28" borderId="53" xfId="0" applyNumberFormat="1" applyFont="1" applyFill="1" applyBorder="1" applyProtection="1">
      <protection locked="0"/>
    </xf>
    <xf numFmtId="168" fontId="36" fillId="28" borderId="63" xfId="0" applyNumberFormat="1" applyFont="1" applyFill="1" applyBorder="1" applyProtection="1">
      <protection locked="0"/>
    </xf>
    <xf numFmtId="168" fontId="37" fillId="28" borderId="50" xfId="0" applyNumberFormat="1" applyFont="1" applyFill="1" applyBorder="1" applyProtection="1">
      <protection locked="0"/>
    </xf>
    <xf numFmtId="168" fontId="37" fillId="28" borderId="51" xfId="0" applyNumberFormat="1" applyFont="1" applyFill="1" applyBorder="1" applyProtection="1">
      <protection locked="0"/>
    </xf>
    <xf numFmtId="168" fontId="38" fillId="28" borderId="51" xfId="0" applyNumberFormat="1" applyFont="1" applyFill="1" applyBorder="1" applyProtection="1">
      <protection locked="0"/>
    </xf>
    <xf numFmtId="168" fontId="37" fillId="28" borderId="48" xfId="0" applyNumberFormat="1" applyFont="1" applyFill="1" applyBorder="1" applyProtection="1">
      <protection locked="0"/>
    </xf>
    <xf numFmtId="168" fontId="37" fillId="28" borderId="41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168" fontId="36" fillId="0" borderId="102" xfId="0" applyNumberFormat="1" applyFont="1" applyFill="1" applyBorder="1" applyProtection="1">
      <protection locked="0"/>
    </xf>
    <xf numFmtId="168" fontId="36" fillId="0" borderId="111" xfId="0" applyNumberFormat="1" applyFont="1" applyFill="1" applyBorder="1" applyProtection="1">
      <protection locked="0"/>
    </xf>
    <xf numFmtId="168" fontId="36" fillId="0" borderId="21" xfId="0" applyNumberFormat="1" applyFont="1" applyFill="1" applyBorder="1" applyProtection="1">
      <protection locked="0"/>
    </xf>
    <xf numFmtId="0" fontId="36" fillId="25" borderId="26" xfId="0" applyFont="1" applyFill="1" applyBorder="1" applyProtection="1">
      <protection locked="0"/>
    </xf>
    <xf numFmtId="168" fontId="37" fillId="23" borderId="19" xfId="0" applyNumberFormat="1" applyFont="1" applyFill="1" applyBorder="1" applyProtection="1">
      <protection locked="0"/>
    </xf>
    <xf numFmtId="168" fontId="37" fillId="23" borderId="20" xfId="0" applyNumberFormat="1" applyFont="1" applyFill="1" applyBorder="1" applyProtection="1">
      <protection locked="0"/>
    </xf>
    <xf numFmtId="0" fontId="36" fillId="25" borderId="30" xfId="0" applyFont="1" applyFill="1" applyBorder="1" applyProtection="1">
      <protection locked="0"/>
    </xf>
    <xf numFmtId="168" fontId="37" fillId="23" borderId="24" xfId="0" applyNumberFormat="1" applyFont="1" applyFill="1" applyBorder="1" applyProtection="1">
      <protection locked="0"/>
    </xf>
    <xf numFmtId="168" fontId="37" fillId="23" borderId="37" xfId="0" applyNumberFormat="1" applyFont="1" applyFill="1" applyBorder="1" applyProtection="1">
      <protection locked="0"/>
    </xf>
    <xf numFmtId="168" fontId="39" fillId="0" borderId="0" xfId="0" applyNumberFormat="1" applyFont="1" applyFill="1" applyBorder="1" applyAlignment="1" applyProtection="1">
      <alignment horizontal="center"/>
      <protection locked="0"/>
    </xf>
    <xf numFmtId="0" fontId="36" fillId="30" borderId="27" xfId="0" applyFont="1" applyFill="1" applyBorder="1" applyProtection="1">
      <protection locked="0"/>
    </xf>
    <xf numFmtId="168" fontId="36" fillId="28" borderId="42" xfId="0" applyNumberFormat="1" applyFont="1" applyFill="1" applyBorder="1" applyProtection="1">
      <protection locked="0"/>
    </xf>
    <xf numFmtId="168" fontId="36" fillId="28" borderId="46" xfId="0" applyNumberFormat="1" applyFont="1" applyFill="1" applyBorder="1" applyProtection="1">
      <protection locked="0"/>
    </xf>
    <xf numFmtId="168" fontId="36" fillId="28" borderId="55" xfId="0" applyNumberFormat="1" applyFont="1" applyFill="1" applyBorder="1" applyProtection="1">
      <protection locked="0"/>
    </xf>
    <xf numFmtId="168" fontId="37" fillId="28" borderId="45" xfId="0" applyNumberFormat="1" applyFont="1" applyFill="1" applyBorder="1" applyProtection="1">
      <protection locked="0"/>
    </xf>
    <xf numFmtId="168" fontId="37" fillId="28" borderId="47" xfId="0" applyNumberFormat="1" applyFont="1" applyFill="1" applyBorder="1" applyProtection="1">
      <protection locked="0"/>
    </xf>
    <xf numFmtId="168" fontId="38" fillId="28" borderId="47" xfId="0" applyNumberFormat="1" applyFont="1" applyFill="1" applyBorder="1" applyProtection="1">
      <protection locked="0"/>
    </xf>
    <xf numFmtId="168" fontId="36" fillId="28" borderId="106" xfId="0" applyNumberFormat="1" applyFont="1" applyFill="1" applyBorder="1" applyProtection="1">
      <protection locked="0"/>
    </xf>
    <xf numFmtId="0" fontId="36" fillId="0" borderId="0" xfId="0" applyFont="1" applyFill="1" applyBorder="1" applyProtection="1">
      <protection locked="0"/>
    </xf>
    <xf numFmtId="168" fontId="36" fillId="31" borderId="24" xfId="0" applyNumberFormat="1" applyFont="1" applyFill="1" applyBorder="1" applyProtection="1">
      <protection locked="0"/>
    </xf>
    <xf numFmtId="168" fontId="36" fillId="0" borderId="34" xfId="0" applyNumberFormat="1" applyFont="1" applyFill="1" applyBorder="1" applyProtection="1">
      <protection locked="0"/>
    </xf>
    <xf numFmtId="168" fontId="36" fillId="0" borderId="17" xfId="0" applyNumberFormat="1" applyFont="1" applyFill="1" applyBorder="1" applyProtection="1">
      <protection locked="0"/>
    </xf>
    <xf numFmtId="168" fontId="36" fillId="0" borderId="18" xfId="0" applyNumberFormat="1" applyFont="1" applyFill="1" applyBorder="1" applyProtection="1">
      <protection locked="0"/>
    </xf>
    <xf numFmtId="168" fontId="37" fillId="23" borderId="15" xfId="0" applyNumberFormat="1" applyFont="1" applyFill="1" applyBorder="1" applyProtection="1"/>
    <xf numFmtId="168" fontId="37" fillId="23" borderId="16" xfId="0" applyNumberFormat="1" applyFont="1" applyFill="1" applyBorder="1" applyProtection="1"/>
    <xf numFmtId="168" fontId="37" fillId="23" borderId="19" xfId="0" applyNumberFormat="1" applyFont="1" applyFill="1" applyBorder="1" applyProtection="1"/>
    <xf numFmtId="168" fontId="37" fillId="23" borderId="20" xfId="0" applyNumberFormat="1" applyFont="1" applyFill="1" applyBorder="1" applyProtection="1"/>
    <xf numFmtId="168" fontId="37" fillId="23" borderId="39" xfId="0" applyNumberFormat="1" applyFont="1" applyFill="1" applyBorder="1" applyProtection="1">
      <protection locked="0"/>
    </xf>
    <xf numFmtId="168" fontId="37" fillId="23" borderId="22" xfId="0" applyNumberFormat="1" applyFont="1" applyFill="1" applyBorder="1" applyProtection="1">
      <protection locked="0"/>
    </xf>
    <xf numFmtId="168" fontId="37" fillId="23" borderId="40" xfId="0" applyNumberFormat="1" applyFont="1" applyFill="1" applyBorder="1" applyProtection="1">
      <protection locked="0"/>
    </xf>
    <xf numFmtId="168" fontId="37" fillId="23" borderId="36" xfId="0" applyNumberFormat="1" applyFont="1" applyFill="1" applyBorder="1" applyProtection="1">
      <protection locked="0"/>
    </xf>
    <xf numFmtId="168" fontId="36" fillId="0" borderId="65" xfId="0" applyNumberFormat="1" applyFont="1" applyFill="1" applyBorder="1" applyProtection="1">
      <protection locked="0"/>
    </xf>
    <xf numFmtId="0" fontId="36" fillId="25" borderId="33" xfId="0" applyFont="1" applyFill="1" applyBorder="1" applyProtection="1">
      <protection locked="0"/>
    </xf>
    <xf numFmtId="168" fontId="36" fillId="0" borderId="14" xfId="0" applyNumberFormat="1" applyFont="1" applyFill="1" applyBorder="1" applyProtection="1">
      <protection locked="0"/>
    </xf>
    <xf numFmtId="168" fontId="37" fillId="23" borderId="15" xfId="0" applyNumberFormat="1" applyFont="1" applyFill="1" applyBorder="1" applyProtection="1">
      <protection locked="0"/>
    </xf>
    <xf numFmtId="168" fontId="37" fillId="23" borderId="16" xfId="0" applyNumberFormat="1" applyFont="1" applyFill="1" applyBorder="1" applyProtection="1">
      <protection locked="0"/>
    </xf>
    <xf numFmtId="168" fontId="36" fillId="31" borderId="29" xfId="0" applyNumberFormat="1" applyFont="1" applyFill="1" applyBorder="1" applyProtection="1">
      <protection locked="0"/>
    </xf>
    <xf numFmtId="168" fontId="36" fillId="31" borderId="64" xfId="0" applyNumberFormat="1" applyFont="1" applyFill="1" applyBorder="1" applyProtection="1">
      <protection locked="0"/>
    </xf>
    <xf numFmtId="0" fontId="36" fillId="25" borderId="32" xfId="0" applyFont="1" applyFill="1" applyBorder="1" applyProtection="1">
      <protection locked="0"/>
    </xf>
    <xf numFmtId="168" fontId="36" fillId="0" borderId="106" xfId="0" applyNumberFormat="1" applyFont="1" applyFill="1" applyBorder="1" applyProtection="1"/>
    <xf numFmtId="168" fontId="37" fillId="23" borderId="93" xfId="0" applyNumberFormat="1" applyFont="1" applyFill="1" applyBorder="1" applyProtection="1">
      <protection locked="0"/>
    </xf>
    <xf numFmtId="168" fontId="37" fillId="23" borderId="92" xfId="0" applyNumberFormat="1" applyFont="1" applyFill="1" applyBorder="1" applyProtection="1">
      <protection locked="0"/>
    </xf>
    <xf numFmtId="168" fontId="36" fillId="0" borderId="104" xfId="0" applyNumberFormat="1" applyFont="1" applyFill="1" applyBorder="1" applyProtection="1">
      <protection locked="0"/>
    </xf>
    <xf numFmtId="168" fontId="36" fillId="0" borderId="78" xfId="0" applyNumberFormat="1" applyFont="1" applyFill="1" applyBorder="1" applyProtection="1">
      <protection locked="0"/>
    </xf>
    <xf numFmtId="168" fontId="37" fillId="23" borderId="80" xfId="0" applyNumberFormat="1" applyFont="1" applyFill="1" applyBorder="1" applyProtection="1">
      <protection locked="0"/>
    </xf>
    <xf numFmtId="168" fontId="37" fillId="23" borderId="81" xfId="0" applyNumberFormat="1" applyFont="1" applyFill="1" applyBorder="1" applyProtection="1">
      <protection locked="0"/>
    </xf>
    <xf numFmtId="0" fontId="36" fillId="25" borderId="91" xfId="0" applyFont="1" applyFill="1" applyBorder="1" applyProtection="1">
      <protection locked="0"/>
    </xf>
    <xf numFmtId="168" fontId="36" fillId="0" borderId="29" xfId="0" applyNumberFormat="1" applyFont="1" applyFill="1" applyBorder="1" applyProtection="1">
      <protection locked="0"/>
    </xf>
    <xf numFmtId="168" fontId="38" fillId="0" borderId="41" xfId="0" applyNumberFormat="1" applyFont="1" applyFill="1" applyBorder="1" applyProtection="1"/>
    <xf numFmtId="168" fontId="36" fillId="0" borderId="64" xfId="0" applyNumberFormat="1" applyFont="1" applyFill="1" applyBorder="1" applyProtection="1">
      <protection locked="0"/>
    </xf>
    <xf numFmtId="0" fontId="36" fillId="25" borderId="88" xfId="0" applyFont="1" applyFill="1" applyBorder="1" applyProtection="1">
      <protection locked="0"/>
    </xf>
    <xf numFmtId="168" fontId="36" fillId="0" borderId="107" xfId="0" applyNumberFormat="1" applyFont="1" applyFill="1" applyBorder="1" applyProtection="1">
      <protection locked="0"/>
    </xf>
    <xf numFmtId="168" fontId="36" fillId="0" borderId="88" xfId="0" applyNumberFormat="1" applyFont="1" applyFill="1" applyBorder="1" applyProtection="1">
      <protection locked="0"/>
    </xf>
    <xf numFmtId="168" fontId="36" fillId="0" borderId="38" xfId="0" applyNumberFormat="1" applyFont="1" applyFill="1" applyBorder="1" applyProtection="1">
      <protection locked="0"/>
    </xf>
    <xf numFmtId="168" fontId="36" fillId="0" borderId="59" xfId="0" applyNumberFormat="1" applyFont="1" applyFill="1" applyBorder="1" applyProtection="1">
      <protection locked="0"/>
    </xf>
    <xf numFmtId="0" fontId="36" fillId="25" borderId="71" xfId="0" applyFont="1" applyFill="1" applyBorder="1" applyProtection="1">
      <protection locked="0"/>
    </xf>
    <xf numFmtId="0" fontId="37" fillId="32" borderId="26" xfId="0" applyFont="1" applyFill="1" applyBorder="1" applyAlignment="1" applyProtection="1">
      <alignment horizontal="center"/>
      <protection locked="0"/>
    </xf>
    <xf numFmtId="0" fontId="36" fillId="0" borderId="0" xfId="0" applyFont="1" applyFill="1" applyBorder="1" applyAlignment="1" applyProtection="1">
      <alignment horizontal="left"/>
      <protection locked="0"/>
    </xf>
    <xf numFmtId="0" fontId="36" fillId="32" borderId="31" xfId="0" applyFont="1" applyFill="1" applyBorder="1" applyProtection="1">
      <protection locked="0"/>
    </xf>
    <xf numFmtId="168" fontId="36" fillId="0" borderId="0" xfId="0" applyNumberFormat="1" applyFont="1" applyFill="1" applyBorder="1" applyAlignment="1" applyProtection="1">
      <alignment horizontal="left"/>
      <protection locked="0"/>
    </xf>
    <xf numFmtId="168" fontId="37" fillId="23" borderId="95" xfId="0" applyNumberFormat="1" applyFont="1" applyFill="1" applyBorder="1" applyProtection="1">
      <protection locked="0"/>
    </xf>
    <xf numFmtId="168" fontId="37" fillId="23" borderId="96" xfId="0" applyNumberFormat="1" applyFont="1" applyFill="1" applyBorder="1" applyProtection="1">
      <protection locked="0"/>
    </xf>
    <xf numFmtId="168" fontId="37" fillId="23" borderId="100" xfId="0" applyNumberFormat="1" applyFont="1" applyFill="1" applyBorder="1" applyProtection="1">
      <protection locked="0"/>
    </xf>
    <xf numFmtId="168" fontId="37" fillId="23" borderId="97" xfId="0" applyNumberFormat="1" applyFont="1" applyFill="1" applyBorder="1" applyProtection="1">
      <protection locked="0"/>
    </xf>
    <xf numFmtId="168" fontId="36" fillId="0" borderId="46" xfId="0" applyNumberFormat="1" applyFont="1" applyFill="1" applyBorder="1" applyProtection="1">
      <protection locked="0"/>
    </xf>
    <xf numFmtId="0" fontId="36" fillId="32" borderId="35" xfId="0" applyFont="1" applyFill="1" applyBorder="1" applyProtection="1">
      <protection locked="0"/>
    </xf>
    <xf numFmtId="0" fontId="36" fillId="32" borderId="30" xfId="0" applyFont="1" applyFill="1" applyBorder="1" applyProtection="1">
      <protection locked="0"/>
    </xf>
    <xf numFmtId="168" fontId="36" fillId="31" borderId="15" xfId="0" applyNumberFormat="1" applyFont="1" applyFill="1" applyBorder="1" applyProtection="1">
      <protection locked="0"/>
    </xf>
    <xf numFmtId="168" fontId="36" fillId="31" borderId="16" xfId="0" applyNumberFormat="1" applyFont="1" applyFill="1" applyBorder="1" applyProtection="1">
      <protection locked="0"/>
    </xf>
    <xf numFmtId="168" fontId="36" fillId="31" borderId="85" xfId="0" applyNumberFormat="1" applyFont="1" applyFill="1" applyBorder="1" applyProtection="1">
      <protection locked="0"/>
    </xf>
    <xf numFmtId="168" fontId="36" fillId="31" borderId="37" xfId="0" applyNumberFormat="1" applyFont="1" applyFill="1" applyBorder="1" applyProtection="1">
      <protection locked="0"/>
    </xf>
    <xf numFmtId="0" fontId="35" fillId="0" borderId="43" xfId="0" applyFont="1" applyFill="1" applyBorder="1"/>
    <xf numFmtId="0" fontId="35" fillId="0" borderId="44" xfId="0" applyFont="1" applyFill="1" applyBorder="1"/>
    <xf numFmtId="168" fontId="38" fillId="26" borderId="76" xfId="0" applyNumberFormat="1" applyFont="1" applyFill="1" applyBorder="1" applyProtection="1">
      <protection locked="0"/>
    </xf>
    <xf numFmtId="168" fontId="34" fillId="0" borderId="68" xfId="0" applyNumberFormat="1" applyFont="1" applyFill="1" applyBorder="1"/>
    <xf numFmtId="168" fontId="34" fillId="0" borderId="69" xfId="0" applyNumberFormat="1" applyFont="1" applyFill="1" applyBorder="1"/>
    <xf numFmtId="0" fontId="36" fillId="25" borderId="82" xfId="0" applyFont="1" applyFill="1" applyBorder="1" applyProtection="1">
      <protection locked="0"/>
    </xf>
    <xf numFmtId="168" fontId="34" fillId="0" borderId="52" xfId="0" applyNumberFormat="1" applyFont="1" applyFill="1" applyBorder="1"/>
    <xf numFmtId="168" fontId="36" fillId="0" borderId="93" xfId="0" applyNumberFormat="1" applyFont="1" applyFill="1" applyBorder="1" applyProtection="1">
      <protection locked="0"/>
    </xf>
    <xf numFmtId="168" fontId="36" fillId="0" borderId="59" xfId="0" applyNumberFormat="1" applyFont="1" applyFill="1" applyBorder="1" applyProtection="1"/>
    <xf numFmtId="168" fontId="36" fillId="29" borderId="86" xfId="0" applyNumberFormat="1" applyFont="1" applyFill="1" applyBorder="1" applyProtection="1">
      <protection locked="0"/>
    </xf>
    <xf numFmtId="0" fontId="41" fillId="0" borderId="0" xfId="0" applyFont="1" applyBorder="1" applyProtection="1">
      <protection locked="0"/>
    </xf>
    <xf numFmtId="168" fontId="40" fillId="0" borderId="0" xfId="0" applyNumberFormat="1" applyFont="1" applyFill="1" applyBorder="1" applyAlignment="1" applyProtection="1">
      <alignment horizontal="center"/>
      <protection locked="0"/>
    </xf>
    <xf numFmtId="0" fontId="41" fillId="0" borderId="0" xfId="0" applyFont="1" applyFill="1" applyBorder="1" applyAlignment="1" applyProtection="1">
      <alignment horizontal="left"/>
      <protection locked="0"/>
    </xf>
    <xf numFmtId="0" fontId="40" fillId="0" borderId="0" xfId="0" applyFont="1" applyFill="1" applyBorder="1" applyAlignment="1" applyProtection="1">
      <alignment horizontal="center"/>
      <protection locked="0"/>
    </xf>
    <xf numFmtId="0" fontId="41" fillId="0" borderId="0" xfId="0" applyFont="1" applyBorder="1" applyAlignment="1" applyProtection="1">
      <alignment horizontal="left"/>
      <protection locked="0"/>
    </xf>
    <xf numFmtId="0" fontId="36" fillId="0" borderId="0" xfId="0" applyFont="1" applyBorder="1" applyAlignment="1" applyProtection="1">
      <alignment horizontal="left"/>
      <protection locked="0"/>
    </xf>
    <xf numFmtId="168" fontId="36" fillId="0" borderId="0" xfId="0" applyNumberFormat="1" applyFont="1" applyBorder="1" applyAlignment="1" applyProtection="1">
      <alignment horizontal="left"/>
      <protection locked="0"/>
    </xf>
    <xf numFmtId="168" fontId="37" fillId="0" borderId="0" xfId="0" applyNumberFormat="1" applyFont="1" applyFill="1" applyBorder="1" applyAlignment="1" applyProtection="1">
      <alignment horizontal="center"/>
      <protection locked="0"/>
    </xf>
    <xf numFmtId="168" fontId="36" fillId="0" borderId="109" xfId="0" applyNumberFormat="1" applyFont="1" applyFill="1" applyBorder="1" applyProtection="1">
      <protection locked="0"/>
    </xf>
    <xf numFmtId="168" fontId="36" fillId="0" borderId="88" xfId="0" applyNumberFormat="1" applyFont="1" applyFill="1" applyBorder="1" applyProtection="1"/>
    <xf numFmtId="168" fontId="36" fillId="0" borderId="99" xfId="0" applyNumberFormat="1" applyFont="1" applyFill="1" applyBorder="1" applyProtection="1">
      <protection locked="0"/>
    </xf>
    <xf numFmtId="0" fontId="37" fillId="35" borderId="83" xfId="0" applyFont="1" applyFill="1" applyBorder="1" applyAlignment="1" applyProtection="1">
      <alignment horizontal="left"/>
      <protection locked="0"/>
    </xf>
    <xf numFmtId="0" fontId="37" fillId="35" borderId="89" xfId="0" applyFont="1" applyFill="1" applyBorder="1" applyAlignment="1" applyProtection="1">
      <alignment horizontal="left"/>
      <protection locked="0"/>
    </xf>
    <xf numFmtId="0" fontId="37" fillId="35" borderId="66" xfId="0" applyFont="1" applyFill="1" applyBorder="1" applyAlignment="1" applyProtection="1">
      <alignment horizontal="left"/>
      <protection locked="0"/>
    </xf>
    <xf numFmtId="168" fontId="36" fillId="0" borderId="84" xfId="0" applyNumberFormat="1" applyFont="1" applyFill="1" applyBorder="1" applyProtection="1">
      <protection locked="0"/>
    </xf>
    <xf numFmtId="168" fontId="36" fillId="0" borderId="86" xfId="0" applyNumberFormat="1" applyFont="1" applyFill="1" applyBorder="1" applyProtection="1">
      <protection locked="0"/>
    </xf>
    <xf numFmtId="168" fontId="36" fillId="29" borderId="82" xfId="0" applyNumberFormat="1" applyFont="1" applyFill="1" applyBorder="1" applyProtection="1">
      <protection locked="0"/>
    </xf>
    <xf numFmtId="168" fontId="36" fillId="29" borderId="85" xfId="0" applyNumberFormat="1" applyFont="1" applyFill="1" applyBorder="1" applyProtection="1">
      <protection locked="0"/>
    </xf>
    <xf numFmtId="168" fontId="36" fillId="0" borderId="103" xfId="0" applyNumberFormat="1" applyFont="1" applyFill="1" applyBorder="1" applyProtection="1">
      <protection locked="0"/>
    </xf>
    <xf numFmtId="168" fontId="36" fillId="0" borderId="116" xfId="0" applyNumberFormat="1" applyFont="1" applyFill="1" applyBorder="1" applyProtection="1">
      <protection locked="0"/>
    </xf>
    <xf numFmtId="168" fontId="37" fillId="23" borderId="105" xfId="0" applyNumberFormat="1" applyFont="1" applyFill="1" applyBorder="1" applyProtection="1">
      <protection locked="0"/>
    </xf>
    <xf numFmtId="168" fontId="37" fillId="23" borderId="108" xfId="0" applyNumberFormat="1" applyFont="1" applyFill="1" applyBorder="1" applyProtection="1">
      <protection locked="0"/>
    </xf>
    <xf numFmtId="168" fontId="36" fillId="0" borderId="60" xfId="0" applyNumberFormat="1" applyFont="1" applyFill="1" applyBorder="1" applyProtection="1">
      <protection locked="0"/>
    </xf>
    <xf numFmtId="168" fontId="36" fillId="0" borderId="112" xfId="0" applyNumberFormat="1" applyFont="1" applyFill="1" applyBorder="1" applyProtection="1">
      <protection locked="0"/>
    </xf>
    <xf numFmtId="168" fontId="36" fillId="29" borderId="88" xfId="0" applyNumberFormat="1" applyFont="1" applyFill="1" applyBorder="1" applyProtection="1">
      <protection locked="0"/>
    </xf>
    <xf numFmtId="168" fontId="36" fillId="29" borderId="60" xfId="0" applyNumberFormat="1" applyFont="1" applyFill="1" applyBorder="1" applyProtection="1">
      <protection locked="0"/>
    </xf>
    <xf numFmtId="168" fontId="38" fillId="26" borderId="90" xfId="0" applyNumberFormat="1" applyFont="1" applyFill="1" applyBorder="1" applyProtection="1">
      <protection locked="0"/>
    </xf>
    <xf numFmtId="168" fontId="38" fillId="26" borderId="99" xfId="0" applyNumberFormat="1" applyFont="1" applyFill="1" applyBorder="1" applyProtection="1">
      <protection locked="0"/>
    </xf>
    <xf numFmtId="168" fontId="36" fillId="29" borderId="103" xfId="0" applyNumberFormat="1" applyFont="1" applyFill="1" applyBorder="1" applyProtection="1">
      <protection locked="0"/>
    </xf>
    <xf numFmtId="168" fontId="36" fillId="29" borderId="62" xfId="0" applyNumberFormat="1" applyFont="1" applyFill="1" applyBorder="1" applyProtection="1">
      <protection locked="0"/>
    </xf>
    <xf numFmtId="168" fontId="37" fillId="0" borderId="57" xfId="0" applyNumberFormat="1" applyFont="1" applyFill="1" applyBorder="1" applyAlignment="1" applyProtection="1">
      <alignment horizontal="center"/>
      <protection locked="0"/>
    </xf>
    <xf numFmtId="168" fontId="36" fillId="31" borderId="119" xfId="0" applyNumberFormat="1" applyFont="1" applyFill="1" applyBorder="1" applyProtection="1">
      <protection locked="0"/>
    </xf>
    <xf numFmtId="168" fontId="36" fillId="31" borderId="120" xfId="0" applyNumberFormat="1" applyFont="1" applyFill="1" applyBorder="1" applyProtection="1">
      <protection locked="0"/>
    </xf>
    <xf numFmtId="168" fontId="36" fillId="31" borderId="117" xfId="0" applyNumberFormat="1" applyFont="1" applyFill="1" applyBorder="1" applyProtection="1">
      <protection locked="0"/>
    </xf>
    <xf numFmtId="168" fontId="36" fillId="31" borderId="121" xfId="0" applyNumberFormat="1" applyFont="1" applyFill="1" applyBorder="1" applyProtection="1">
      <protection locked="0"/>
    </xf>
    <xf numFmtId="168" fontId="42" fillId="0" borderId="0" xfId="0" applyNumberFormat="1" applyFont="1" applyFill="1" applyBorder="1" applyAlignment="1" applyProtection="1">
      <alignment horizontal="center"/>
      <protection locked="0"/>
    </xf>
    <xf numFmtId="0" fontId="43" fillId="0" borderId="0" xfId="0" applyFont="1" applyBorder="1" applyProtection="1">
      <protection locked="0"/>
    </xf>
    <xf numFmtId="168" fontId="36" fillId="0" borderId="41" xfId="0" applyNumberFormat="1" applyFont="1" applyFill="1" applyBorder="1"/>
    <xf numFmtId="168" fontId="36" fillId="0" borderId="114" xfId="0" applyNumberFormat="1" applyFont="1" applyFill="1" applyBorder="1"/>
    <xf numFmtId="0" fontId="36" fillId="25" borderId="90" xfId="0" applyFont="1" applyFill="1" applyBorder="1" applyProtection="1">
      <protection locked="0"/>
    </xf>
    <xf numFmtId="168" fontId="37" fillId="0" borderId="34" xfId="0" applyNumberFormat="1" applyFont="1" applyFill="1" applyBorder="1" applyAlignment="1" applyProtection="1">
      <alignment horizontal="center"/>
      <protection locked="0"/>
    </xf>
    <xf numFmtId="0" fontId="36" fillId="25" borderId="94" xfId="0" applyFont="1" applyFill="1" applyBorder="1" applyProtection="1">
      <protection locked="0"/>
    </xf>
    <xf numFmtId="168" fontId="38" fillId="31" borderId="60" xfId="0" applyNumberFormat="1" applyFont="1" applyFill="1" applyBorder="1" applyProtection="1">
      <protection locked="0"/>
    </xf>
    <xf numFmtId="168" fontId="38" fillId="26" borderId="113" xfId="0" applyNumberFormat="1" applyFont="1" applyFill="1" applyBorder="1" applyProtection="1">
      <protection locked="0"/>
    </xf>
    <xf numFmtId="168" fontId="38" fillId="26" borderId="121" xfId="0" applyNumberFormat="1" applyFont="1" applyFill="1" applyBorder="1" applyProtection="1">
      <protection locked="0"/>
    </xf>
    <xf numFmtId="168" fontId="38" fillId="26" borderId="118" xfId="0" applyNumberFormat="1" applyFont="1" applyFill="1" applyBorder="1" applyProtection="1">
      <protection locked="0"/>
    </xf>
    <xf numFmtId="168" fontId="38" fillId="0" borderId="76" xfId="0" applyNumberFormat="1" applyFont="1" applyFill="1" applyBorder="1" applyProtection="1"/>
    <xf numFmtId="168" fontId="36" fillId="0" borderId="101" xfId="0" applyNumberFormat="1" applyFont="1" applyFill="1" applyBorder="1" applyProtection="1">
      <protection locked="0"/>
    </xf>
    <xf numFmtId="168" fontId="36" fillId="0" borderId="118" xfId="0" applyNumberFormat="1" applyFont="1" applyFill="1" applyBorder="1" applyProtection="1">
      <protection locked="0"/>
    </xf>
    <xf numFmtId="168" fontId="36" fillId="0" borderId="107" xfId="0" applyNumberFormat="1" applyFont="1" applyFill="1" applyBorder="1" applyProtection="1"/>
    <xf numFmtId="168" fontId="38" fillId="0" borderId="119" xfId="0" applyNumberFormat="1" applyFont="1" applyFill="1" applyBorder="1" applyProtection="1"/>
    <xf numFmtId="168" fontId="38" fillId="0" borderId="99" xfId="0" applyNumberFormat="1" applyFont="1" applyFill="1" applyBorder="1" applyProtection="1"/>
    <xf numFmtId="168" fontId="38" fillId="31" borderId="58" xfId="0" applyNumberFormat="1" applyFont="1" applyFill="1" applyBorder="1" applyProtection="1">
      <protection locked="0"/>
    </xf>
    <xf numFmtId="168" fontId="36" fillId="0" borderId="122" xfId="0" applyNumberFormat="1" applyFont="1" applyFill="1" applyBorder="1" applyProtection="1"/>
    <xf numFmtId="168" fontId="36" fillId="0" borderId="103" xfId="0" applyNumberFormat="1" applyFont="1" applyFill="1" applyBorder="1" applyProtection="1"/>
    <xf numFmtId="168" fontId="36" fillId="29" borderId="54" xfId="0" applyNumberFormat="1" applyFont="1" applyFill="1" applyBorder="1" applyProtection="1">
      <protection locked="0"/>
    </xf>
    <xf numFmtId="168" fontId="36" fillId="28" borderId="58" xfId="0" applyNumberFormat="1" applyFont="1" applyFill="1" applyBorder="1" applyProtection="1">
      <protection locked="0"/>
    </xf>
    <xf numFmtId="168" fontId="36" fillId="28" borderId="59" xfId="0" applyNumberFormat="1" applyFont="1" applyFill="1" applyBorder="1" applyProtection="1">
      <protection locked="0"/>
    </xf>
    <xf numFmtId="168" fontId="36" fillId="28" borderId="60" xfId="0" applyNumberFormat="1" applyFont="1" applyFill="1" applyBorder="1" applyProtection="1">
      <protection locked="0"/>
    </xf>
    <xf numFmtId="168" fontId="36" fillId="0" borderId="61" xfId="0" applyNumberFormat="1" applyFont="1" applyFill="1" applyBorder="1" applyProtection="1">
      <protection locked="0"/>
    </xf>
    <xf numFmtId="168" fontId="36" fillId="28" borderId="88" xfId="0" applyNumberFormat="1" applyFont="1" applyFill="1" applyBorder="1" applyProtection="1">
      <protection locked="0"/>
    </xf>
    <xf numFmtId="168" fontId="38" fillId="31" borderId="119" xfId="0" applyNumberFormat="1" applyFont="1" applyFill="1" applyBorder="1" applyProtection="1">
      <protection locked="0"/>
    </xf>
    <xf numFmtId="168" fontId="38" fillId="31" borderId="121" xfId="0" applyNumberFormat="1" applyFont="1" applyFill="1" applyBorder="1" applyProtection="1">
      <protection locked="0"/>
    </xf>
    <xf numFmtId="168" fontId="36" fillId="0" borderId="115" xfId="0" applyNumberFormat="1" applyFont="1" applyFill="1" applyBorder="1" applyProtection="1">
      <protection locked="0"/>
    </xf>
    <xf numFmtId="168" fontId="36" fillId="0" borderId="119" xfId="0" applyNumberFormat="1" applyFont="1" applyFill="1" applyBorder="1" applyProtection="1">
      <protection locked="0"/>
    </xf>
    <xf numFmtId="168" fontId="37" fillId="23" borderId="87" xfId="0" applyNumberFormat="1" applyFont="1" applyFill="1" applyBorder="1" applyProtection="1">
      <protection locked="0"/>
    </xf>
    <xf numFmtId="168" fontId="37" fillId="23" borderId="70" xfId="0" applyNumberFormat="1" applyFont="1" applyFill="1" applyBorder="1" applyProtection="1">
      <protection locked="0"/>
    </xf>
    <xf numFmtId="168" fontId="36" fillId="0" borderId="99" xfId="0" applyNumberFormat="1" applyFont="1" applyFill="1" applyBorder="1"/>
    <xf numFmtId="168" fontId="36" fillId="0" borderId="125" xfId="0" applyNumberFormat="1" applyFont="1" applyFill="1" applyBorder="1" applyProtection="1"/>
    <xf numFmtId="168" fontId="36" fillId="0" borderId="58" xfId="0" applyNumberFormat="1" applyFont="1" applyFill="1" applyBorder="1" applyProtection="1"/>
    <xf numFmtId="168" fontId="38" fillId="0" borderId="47" xfId="0" applyNumberFormat="1" applyFont="1" applyFill="1" applyBorder="1" applyProtection="1"/>
    <xf numFmtId="171" fontId="39" fillId="0" borderId="0" xfId="0" applyNumberFormat="1" applyFont="1" applyFill="1" applyBorder="1" applyAlignment="1" applyProtection="1">
      <alignment horizontal="center"/>
      <protection locked="0"/>
    </xf>
    <xf numFmtId="168" fontId="38" fillId="0" borderId="110" xfId="0" applyNumberFormat="1" applyFont="1" applyFill="1" applyBorder="1" applyProtection="1"/>
    <xf numFmtId="0" fontId="37" fillId="24" borderId="25" xfId="0" applyFont="1" applyFill="1" applyBorder="1" applyAlignment="1" applyProtection="1">
      <alignment horizontal="center" vertical="center"/>
      <protection locked="0"/>
    </xf>
    <xf numFmtId="0" fontId="37" fillId="24" borderId="37" xfId="0" applyFont="1" applyFill="1" applyBorder="1" applyAlignment="1" applyProtection="1">
      <alignment horizontal="center" vertical="center"/>
      <protection locked="0"/>
    </xf>
    <xf numFmtId="168" fontId="36" fillId="0" borderId="98" xfId="0" applyNumberFormat="1" applyFont="1" applyFill="1" applyBorder="1"/>
    <xf numFmtId="0" fontId="36" fillId="0" borderId="89" xfId="0" applyFont="1" applyFill="1" applyBorder="1" applyProtection="1">
      <protection locked="0"/>
    </xf>
    <xf numFmtId="168" fontId="36" fillId="0" borderId="89" xfId="0" applyNumberFormat="1" applyFont="1" applyFill="1" applyBorder="1" applyProtection="1">
      <protection locked="0"/>
    </xf>
    <xf numFmtId="168" fontId="37" fillId="0" borderId="89" xfId="0" applyNumberFormat="1" applyFont="1" applyFill="1" applyBorder="1" applyProtection="1">
      <protection locked="0"/>
    </xf>
    <xf numFmtId="168" fontId="38" fillId="0" borderId="89" xfId="0" applyNumberFormat="1" applyFont="1" applyFill="1" applyBorder="1" applyProtection="1">
      <protection locked="0"/>
    </xf>
    <xf numFmtId="172" fontId="34" fillId="0" borderId="44" xfId="0" applyNumberFormat="1" applyFont="1" applyFill="1" applyBorder="1"/>
    <xf numFmtId="172" fontId="34" fillId="0" borderId="49" xfId="0" applyNumberFormat="1" applyFont="1" applyFill="1" applyBorder="1"/>
    <xf numFmtId="172" fontId="36" fillId="0" borderId="44" xfId="0" applyNumberFormat="1" applyFont="1" applyFill="1" applyBorder="1" applyProtection="1">
      <protection locked="0"/>
    </xf>
    <xf numFmtId="172" fontId="34" fillId="0" borderId="43" xfId="0" applyNumberFormat="1" applyFont="1" applyFill="1" applyBorder="1"/>
    <xf numFmtId="172" fontId="36" fillId="0" borderId="43" xfId="0" applyNumberFormat="1" applyFont="1" applyFill="1" applyBorder="1" applyProtection="1">
      <protection locked="0"/>
    </xf>
    <xf numFmtId="168" fontId="44" fillId="0" borderId="0" xfId="0" applyNumberFormat="1" applyFont="1" applyFill="1" applyBorder="1" applyAlignment="1" applyProtection="1">
      <alignment horizontal="center"/>
      <protection locked="0"/>
    </xf>
    <xf numFmtId="168" fontId="37" fillId="36" borderId="53" xfId="0" applyNumberFormat="1" applyFont="1" applyFill="1" applyBorder="1" applyProtection="1">
      <protection locked="0"/>
    </xf>
    <xf numFmtId="168" fontId="37" fillId="31" borderId="117" xfId="0" applyNumberFormat="1" applyFont="1" applyFill="1" applyBorder="1" applyProtection="1">
      <protection locked="0"/>
    </xf>
    <xf numFmtId="168" fontId="36" fillId="0" borderId="0" xfId="0" applyNumberFormat="1" applyFont="1" applyBorder="1" applyProtection="1">
      <protection locked="0"/>
    </xf>
    <xf numFmtId="169" fontId="37" fillId="27" borderId="28" xfId="0" applyNumberFormat="1" applyFont="1" applyFill="1" applyBorder="1" applyProtection="1">
      <protection locked="0"/>
    </xf>
    <xf numFmtId="0" fontId="37" fillId="33" borderId="33" xfId="0" applyFont="1" applyFill="1" applyBorder="1" applyProtection="1">
      <protection locked="0"/>
    </xf>
    <xf numFmtId="169" fontId="37" fillId="27" borderId="86" xfId="0" applyNumberFormat="1" applyFont="1" applyFill="1" applyBorder="1" applyProtection="1">
      <protection locked="0"/>
    </xf>
    <xf numFmtId="169" fontId="37" fillId="27" borderId="114" xfId="0" applyNumberFormat="1" applyFont="1" applyFill="1" applyBorder="1" applyProtection="1">
      <protection locked="0"/>
    </xf>
    <xf numFmtId="169" fontId="37" fillId="27" borderId="40" xfId="0" applyNumberFormat="1" applyFont="1" applyFill="1" applyBorder="1" applyProtection="1">
      <protection locked="0"/>
    </xf>
    <xf numFmtId="169" fontId="37" fillId="27" borderId="67" xfId="0" applyNumberFormat="1" applyFont="1" applyFill="1" applyBorder="1" applyProtection="1">
      <protection locked="0"/>
    </xf>
    <xf numFmtId="169" fontId="37" fillId="27" borderId="123" xfId="0" applyNumberFormat="1" applyFont="1" applyFill="1" applyBorder="1" applyProtection="1">
      <protection locked="0"/>
    </xf>
    <xf numFmtId="0" fontId="37" fillId="0" borderId="0" xfId="0" applyFont="1" applyBorder="1" applyAlignment="1" applyProtection="1">
      <alignment horizontal="left"/>
      <protection locked="0"/>
    </xf>
    <xf numFmtId="0" fontId="37" fillId="0" borderId="0" xfId="0" applyFont="1" applyBorder="1" applyProtection="1">
      <protection locked="0"/>
    </xf>
    <xf numFmtId="0" fontId="37" fillId="0" borderId="0" xfId="0" applyFont="1" applyFill="1" applyBorder="1" applyAlignment="1" applyProtection="1">
      <alignment horizontal="left"/>
      <protection locked="0"/>
    </xf>
    <xf numFmtId="168" fontId="37" fillId="27" borderId="34" xfId="0" applyNumberFormat="1" applyFont="1" applyFill="1" applyBorder="1" applyProtection="1">
      <protection locked="0"/>
    </xf>
    <xf numFmtId="168" fontId="37" fillId="27" borderId="82" xfId="0" applyNumberFormat="1" applyFont="1" applyFill="1" applyBorder="1" applyProtection="1">
      <protection locked="0"/>
    </xf>
    <xf numFmtId="168" fontId="37" fillId="27" borderId="113" xfId="0" applyNumberFormat="1" applyFont="1" applyFill="1" applyBorder="1" applyProtection="1">
      <protection locked="0"/>
    </xf>
    <xf numFmtId="168" fontId="37" fillId="33" borderId="33" xfId="0" applyNumberFormat="1" applyFont="1" applyFill="1" applyBorder="1" applyProtection="1">
      <protection locked="0"/>
    </xf>
    <xf numFmtId="172" fontId="37" fillId="27" borderId="34" xfId="0" applyNumberFormat="1" applyFont="1" applyFill="1" applyBorder="1" applyProtection="1">
      <protection locked="0"/>
    </xf>
    <xf numFmtId="172" fontId="37" fillId="27" borderId="82" xfId="0" applyNumberFormat="1" applyFont="1" applyFill="1" applyBorder="1" applyProtection="1">
      <protection locked="0"/>
    </xf>
    <xf numFmtId="172" fontId="37" fillId="27" borderId="113" xfId="0" applyNumberFormat="1" applyFont="1" applyFill="1" applyBorder="1" applyProtection="1">
      <protection locked="0"/>
    </xf>
    <xf numFmtId="168" fontId="37" fillId="31" borderId="121" xfId="0" applyNumberFormat="1" applyFont="1" applyFill="1" applyBorder="1" applyProtection="1">
      <protection locked="0"/>
    </xf>
    <xf numFmtId="0" fontId="40" fillId="0" borderId="0" xfId="0" applyFont="1" applyFill="1" applyBorder="1" applyAlignment="1" applyProtection="1">
      <alignment horizontal="center"/>
      <protection locked="0"/>
    </xf>
    <xf numFmtId="0" fontId="37" fillId="34" borderId="23" xfId="0" applyFont="1" applyFill="1" applyBorder="1" applyAlignment="1" applyProtection="1">
      <alignment horizontal="center" vertical="center"/>
      <protection locked="0"/>
    </xf>
    <xf numFmtId="0" fontId="37" fillId="34" borderId="16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alignment horizontal="center" wrapText="1"/>
      <protection locked="0"/>
    </xf>
    <xf numFmtId="0" fontId="37" fillId="24" borderId="16" xfId="0" applyFont="1" applyFill="1" applyBorder="1" applyAlignment="1" applyProtection="1">
      <alignment horizontal="center" vertical="center" wrapText="1"/>
      <protection locked="0"/>
    </xf>
    <xf numFmtId="0" fontId="37" fillId="24" borderId="37" xfId="0" applyFont="1" applyFill="1" applyBorder="1" applyAlignment="1" applyProtection="1">
      <alignment horizontal="center" vertical="center" wrapText="1"/>
      <protection locked="0"/>
    </xf>
    <xf numFmtId="0" fontId="37" fillId="24" borderId="124" xfId="0" applyFont="1" applyFill="1" applyBorder="1" applyAlignment="1" applyProtection="1">
      <alignment horizontal="center" vertical="center" wrapText="1"/>
      <protection locked="0"/>
    </xf>
    <xf numFmtId="0" fontId="37" fillId="24" borderId="79" xfId="0" applyFont="1" applyFill="1" applyBorder="1" applyAlignment="1" applyProtection="1">
      <alignment horizontal="center" vertical="center" wrapText="1"/>
      <protection locked="0"/>
    </xf>
    <xf numFmtId="14" fontId="36" fillId="24" borderId="124" xfId="0" applyNumberFormat="1" applyFont="1" applyFill="1" applyBorder="1" applyAlignment="1" applyProtection="1">
      <alignment horizontal="center" vertical="center"/>
      <protection locked="0"/>
    </xf>
    <xf numFmtId="14" fontId="36" fillId="24" borderId="79" xfId="0" applyNumberFormat="1" applyFont="1" applyFill="1" applyBorder="1" applyAlignment="1" applyProtection="1">
      <alignment horizontal="center" vertical="center"/>
      <protection locked="0"/>
    </xf>
    <xf numFmtId="0" fontId="37" fillId="24" borderId="87" xfId="0" applyFont="1" applyFill="1" applyBorder="1" applyAlignment="1" applyProtection="1">
      <alignment horizontal="center" vertical="center"/>
      <protection locked="0"/>
    </xf>
    <xf numFmtId="0" fontId="37" fillId="24" borderId="80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center" wrapText="1"/>
      <protection locked="0"/>
    </xf>
    <xf numFmtId="0" fontId="37" fillId="24" borderId="24" xfId="0" applyFont="1" applyFill="1" applyBorder="1" applyAlignment="1" applyProtection="1">
      <alignment horizontal="center" wrapText="1"/>
      <protection locked="0"/>
    </xf>
  </cellXfs>
  <cellStyles count="113">
    <cellStyle name="?’ћѓћ‚›‰" xfId="1"/>
    <cellStyle name="”?ќђќ‘ћ‚›‰" xfId="2"/>
    <cellStyle name="”?љ‘?ђћ‚ђќќ›‰" xfId="3"/>
    <cellStyle name="„…ќ…†ќ›‰" xfId="4"/>
    <cellStyle name="„ђ’ђ" xfId="5"/>
    <cellStyle name="‡ђѓћ‹ћ‚ћљ1" xfId="6"/>
    <cellStyle name="‡ђѓћ‹ћ‚ћљ2" xfId="7"/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20% – Акцентування1" xfId="14"/>
    <cellStyle name="20% – Акцентування2" xfId="15"/>
    <cellStyle name="20% – Акцентування3" xfId="16"/>
    <cellStyle name="20% – Акцентування4" xfId="17"/>
    <cellStyle name="20% – Акцентування5" xfId="18"/>
    <cellStyle name="20% – Акцентування6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40% – Акцентування1" xfId="26"/>
    <cellStyle name="40% – Акцентування2" xfId="27"/>
    <cellStyle name="40% – Акцентування3" xfId="28"/>
    <cellStyle name="40% – Акцентування4" xfId="29"/>
    <cellStyle name="40% – Акцентування5" xfId="30"/>
    <cellStyle name="40% – Акцентування6" xfId="31"/>
    <cellStyle name="60% - Акцент1 2" xfId="32"/>
    <cellStyle name="60% - Акцент2 2" xfId="33"/>
    <cellStyle name="60% - Акцент3 2" xfId="34"/>
    <cellStyle name="60% - Акцент4 2" xfId="35"/>
    <cellStyle name="60% - Акцент5 2" xfId="36"/>
    <cellStyle name="60% - Акцент6 2" xfId="37"/>
    <cellStyle name="60% – Акцентування1" xfId="38"/>
    <cellStyle name="60% – Акцентування2" xfId="39"/>
    <cellStyle name="60% – Акцентування3" xfId="40"/>
    <cellStyle name="60% – Акцентування4" xfId="41"/>
    <cellStyle name="60% – Акцентування5" xfId="42"/>
    <cellStyle name="60% – Акцентування6" xfId="43"/>
    <cellStyle name="F2" xfId="44"/>
    <cellStyle name="F3" xfId="45"/>
    <cellStyle name="F4" xfId="46"/>
    <cellStyle name="F5" xfId="47"/>
    <cellStyle name="F6" xfId="48"/>
    <cellStyle name="F7" xfId="49"/>
    <cellStyle name="F8" xfId="50"/>
    <cellStyle name="Iau?iue_ZV1PIV98" xfId="51"/>
    <cellStyle name="Normal_meresha_07" xfId="52"/>
    <cellStyle name="Акцент1 2" xfId="53"/>
    <cellStyle name="Акцент2 2" xfId="54"/>
    <cellStyle name="Акцент3 2" xfId="55"/>
    <cellStyle name="Акцент4 2" xfId="56"/>
    <cellStyle name="Акцент5 2" xfId="57"/>
    <cellStyle name="Акцент6 2" xfId="58"/>
    <cellStyle name="Акцентування1" xfId="59"/>
    <cellStyle name="Акцентування2" xfId="60"/>
    <cellStyle name="Акцентування3" xfId="61"/>
    <cellStyle name="Акцентування4" xfId="62"/>
    <cellStyle name="Акцентування5" xfId="63"/>
    <cellStyle name="Акцентування6" xfId="64"/>
    <cellStyle name="Ввід" xfId="65"/>
    <cellStyle name="Ввод  2" xfId="66"/>
    <cellStyle name="Вывод 2" xfId="67"/>
    <cellStyle name="Вычисление 2" xfId="68"/>
    <cellStyle name="Добре" xfId="69"/>
    <cellStyle name="Заголовок 1 2" xfId="70"/>
    <cellStyle name="Заголовок 2 2" xfId="71"/>
    <cellStyle name="Заголовок 3 2" xfId="72"/>
    <cellStyle name="Заголовок 4 2" xfId="73"/>
    <cellStyle name="Звичайний 2_Фінасування соцвиплат 01.01.09_22.01.09" xfId="74"/>
    <cellStyle name="Звичайний 3" xfId="75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2 2" xfId="85"/>
    <cellStyle name="Обычный 2 3" xfId="86"/>
    <cellStyle name="Обычный 2 4" xfId="87"/>
    <cellStyle name="Обычный 2_1133 I кв 2011" xfId="88"/>
    <cellStyle name="Обычный 3" xfId="89"/>
    <cellStyle name="Обычный 3 2" xfId="90"/>
    <cellStyle name="Обычный 3_Автогосп проект І кв." xfId="91"/>
    <cellStyle name="Обычный 4" xfId="92"/>
    <cellStyle name="Обычный 5" xfId="93"/>
    <cellStyle name="Підсумок" xfId="94"/>
    <cellStyle name="Плохой 2" xfId="95"/>
    <cellStyle name="Поганий" xfId="96"/>
    <cellStyle name="Пояснение 2" xfId="97"/>
    <cellStyle name="Примечание 2" xfId="98"/>
    <cellStyle name="Примечание 2 2" xfId="112"/>
    <cellStyle name="Примітка" xfId="99"/>
    <cellStyle name="Результат" xfId="100"/>
    <cellStyle name="Связанная ячейка 2" xfId="101"/>
    <cellStyle name="Середній" xfId="102"/>
    <cellStyle name="Стиль 1" xfId="103"/>
    <cellStyle name="Стиль 1 2" xfId="104"/>
    <cellStyle name="Текст попередження" xfId="105"/>
    <cellStyle name="Текст пояснення" xfId="106"/>
    <cellStyle name="Текст предупреждения 2" xfId="107"/>
    <cellStyle name="Тысячи [0]_Розподіл (2)" xfId="108"/>
    <cellStyle name="Тысячи_бюджет 1998 по клас." xfId="109"/>
    <cellStyle name="Хороший 2" xfId="110"/>
    <cellStyle name="Џђћ–…ќ’ќ›‰" xfId="1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66"/>
      <rgbColor rgb="00CCFFFF"/>
      <rgbColor rgb="00660066"/>
      <rgbColor rgb="00FF8080"/>
      <rgbColor rgb="000066CC"/>
      <rgbColor rgb="00CCCCFF"/>
      <rgbColor rgb="00000080"/>
      <rgbColor rgb="00FF00FF"/>
      <rgbColor rgb="00E6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900"/>
      <rgbColor rgb="00FF6600"/>
      <rgbColor rgb="00666699"/>
      <rgbColor rgb="007DA6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LAN\NED\01-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85;&#1072;&#1096;&#1072;%20&#1092;&#1086;&#1088;&#1084;&#1091;&#1083;&#1072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99"/>
      <sheetName val="01_01_99"/>
      <sheetName val="01_01_991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01.01.99"/>
      <sheetName val="01_01_99"/>
    </sheetNames>
    <sheetDataSet>
      <sheetData sheetId="0" refreshError="1">
        <row r="791">
          <cell r="V791">
            <v>0.39872236742203809</v>
          </cell>
        </row>
        <row r="793">
          <cell r="V793">
            <v>0.90600000000000003</v>
          </cell>
        </row>
        <row r="794">
          <cell r="V794">
            <v>1.1319999999999999</v>
          </cell>
        </row>
        <row r="795">
          <cell r="V795">
            <v>1.0640000000000001</v>
          </cell>
        </row>
        <row r="796">
          <cell r="V796">
            <v>1.331</v>
          </cell>
        </row>
        <row r="797">
          <cell r="V797">
            <v>2.7822975815143491E-2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Z76"/>
  <sheetViews>
    <sheetView tabSelected="1" view="pageBreakPreview" zoomScale="87" zoomScaleNormal="75" zoomScaleSheetLayoutView="87" workbookViewId="0">
      <pane xSplit="3" ySplit="4" topLeftCell="I7" activePane="bottomRight" state="frozen"/>
      <selection pane="topRight" activeCell="D1" sqref="D1"/>
      <selection pane="bottomLeft" activeCell="A4" sqref="A4"/>
      <selection pane="bottomRight" activeCell="W66" sqref="W66"/>
    </sheetView>
  </sheetViews>
  <sheetFormatPr defaultColWidth="9.109375" defaultRowHeight="15.05" customHeight="1"/>
  <cols>
    <col min="1" max="1" width="9.44140625" style="12" customWidth="1"/>
    <col min="2" max="2" width="21.6640625" style="12" customWidth="1"/>
    <col min="3" max="4" width="12.5546875" style="12" customWidth="1"/>
    <col min="5" max="5" width="12.44140625" style="12" customWidth="1"/>
    <col min="6" max="9" width="12.5546875" style="12" customWidth="1"/>
    <col min="10" max="11" width="13.5546875" style="12" customWidth="1"/>
    <col min="12" max="16" width="12.5546875" style="12" customWidth="1"/>
    <col min="17" max="17" width="12.44140625" style="12" customWidth="1"/>
    <col min="18" max="18" width="13.5546875" style="12" customWidth="1"/>
    <col min="19" max="19" width="13.6640625" style="12" customWidth="1"/>
    <col min="20" max="20" width="14.88671875" style="12" customWidth="1"/>
    <col min="21" max="21" width="12.44140625" style="12" customWidth="1"/>
    <col min="22" max="22" width="10.6640625" style="65" customWidth="1"/>
    <col min="23" max="23" width="10.6640625" style="142" customWidth="1"/>
    <col min="24" max="24" width="10.88671875" style="12" customWidth="1"/>
    <col min="25" max="25" width="9.109375" style="12" customWidth="1"/>
    <col min="26" max="26" width="9.88671875" style="113" customWidth="1"/>
    <col min="27" max="27" width="9.109375" style="12" customWidth="1"/>
    <col min="28" max="16384" width="9.109375" style="12"/>
  </cols>
  <sheetData>
    <row r="1" spans="1:26" s="137" customFormat="1" ht="17.55">
      <c r="A1" s="244" t="s">
        <v>49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V1" s="173">
        <v>21866.850999999999</v>
      </c>
      <c r="W1" s="141"/>
      <c r="Z1" s="139"/>
    </row>
    <row r="2" spans="1:26" s="137" customFormat="1" ht="18.2" thickBot="1">
      <c r="A2" s="140"/>
      <c r="B2" s="140"/>
      <c r="C2" s="140"/>
      <c r="D2" s="138"/>
      <c r="E2" s="222"/>
      <c r="F2" s="138"/>
      <c r="G2" s="138"/>
      <c r="H2" s="138"/>
      <c r="I2" s="172"/>
      <c r="J2" s="172"/>
      <c r="K2" s="172"/>
      <c r="L2" s="138"/>
      <c r="M2" s="138"/>
      <c r="N2" s="138"/>
      <c r="O2" s="138"/>
      <c r="P2" s="138"/>
      <c r="Q2" s="138"/>
      <c r="R2" s="138"/>
      <c r="S2" s="138"/>
      <c r="V2" s="247"/>
      <c r="W2" s="141"/>
      <c r="Z2" s="139"/>
    </row>
    <row r="3" spans="1:26" ht="20.2" customHeight="1">
      <c r="A3" s="254" t="s">
        <v>44</v>
      </c>
      <c r="B3" s="252"/>
      <c r="C3" s="250" t="s">
        <v>3</v>
      </c>
      <c r="D3" s="245" t="s">
        <v>0</v>
      </c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6"/>
      <c r="T3" s="256" t="s">
        <v>1</v>
      </c>
      <c r="U3" s="248" t="s">
        <v>2</v>
      </c>
      <c r="V3" s="247"/>
    </row>
    <row r="4" spans="1:26" ht="24.75" customHeight="1" thickBot="1">
      <c r="A4" s="255"/>
      <c r="B4" s="253"/>
      <c r="C4" s="251"/>
      <c r="D4" s="210" t="s">
        <v>4</v>
      </c>
      <c r="E4" s="210" t="s">
        <v>5</v>
      </c>
      <c r="F4" s="210" t="s">
        <v>6</v>
      </c>
      <c r="G4" s="210" t="s">
        <v>7</v>
      </c>
      <c r="H4" s="210" t="s">
        <v>8</v>
      </c>
      <c r="I4" s="210" t="s">
        <v>9</v>
      </c>
      <c r="J4" s="210" t="s">
        <v>10</v>
      </c>
      <c r="K4" s="210" t="s">
        <v>11</v>
      </c>
      <c r="L4" s="210" t="s">
        <v>12</v>
      </c>
      <c r="M4" s="210" t="s">
        <v>13</v>
      </c>
      <c r="N4" s="210" t="s">
        <v>14</v>
      </c>
      <c r="O4" s="210" t="s">
        <v>15</v>
      </c>
      <c r="P4" s="210" t="s">
        <v>16</v>
      </c>
      <c r="Q4" s="210" t="s">
        <v>17</v>
      </c>
      <c r="R4" s="210" t="s">
        <v>18</v>
      </c>
      <c r="S4" s="211" t="s">
        <v>19</v>
      </c>
      <c r="T4" s="257"/>
      <c r="U4" s="249"/>
    </row>
    <row r="5" spans="1:26" s="74" customFormat="1" thickBot="1">
      <c r="A5" s="148" t="s">
        <v>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50"/>
      <c r="V5" s="144"/>
      <c r="W5" s="113"/>
      <c r="Z5" s="113"/>
    </row>
    <row r="6" spans="1:26">
      <c r="A6" s="112">
        <v>2270</v>
      </c>
      <c r="B6" s="121" t="s">
        <v>21</v>
      </c>
      <c r="C6" s="92">
        <f t="shared" ref="C6:C11" si="0">C23+C45+C63</f>
        <v>0</v>
      </c>
      <c r="D6" s="92">
        <f t="shared" ref="D6:I6" si="1">D23+D45+D63</f>
        <v>77.980930000000001</v>
      </c>
      <c r="E6" s="92">
        <f t="shared" si="1"/>
        <v>99.510050000000007</v>
      </c>
      <c r="F6" s="92">
        <f t="shared" si="1"/>
        <v>58.623539999999998</v>
      </c>
      <c r="G6" s="92">
        <f t="shared" si="1"/>
        <v>36.22092</v>
      </c>
      <c r="H6" s="92">
        <f t="shared" si="1"/>
        <v>19.648669999999999</v>
      </c>
      <c r="I6" s="92">
        <f t="shared" si="1"/>
        <v>18.495260000000002</v>
      </c>
      <c r="J6" s="123">
        <f t="shared" ref="J6:J19" si="2">SUM(D6:I6)</f>
        <v>310.47937000000002</v>
      </c>
      <c r="K6" s="124">
        <f t="shared" ref="K6:K19" si="3">J6/6</f>
        <v>51.746561666666672</v>
      </c>
      <c r="L6" s="93">
        <f t="shared" ref="L6:Q6" si="4">L23+L45+L63</f>
        <v>27.221170000000001</v>
      </c>
      <c r="M6" s="169">
        <f t="shared" si="4"/>
        <v>26.217419999999997</v>
      </c>
      <c r="N6" s="169">
        <f t="shared" si="4"/>
        <v>35.537976329345824</v>
      </c>
      <c r="O6" s="169">
        <f t="shared" si="4"/>
        <v>43.960442403088841</v>
      </c>
      <c r="P6" s="169">
        <f t="shared" si="4"/>
        <v>107.12739571448658</v>
      </c>
      <c r="Q6" s="168">
        <f t="shared" si="4"/>
        <v>102.82451845485406</v>
      </c>
      <c r="R6" s="14">
        <f t="shared" ref="R6:R19" si="5">SUM(L6:Q6)</f>
        <v>342.88892290177529</v>
      </c>
      <c r="S6" s="15">
        <f t="shared" ref="S6:S19" si="6">J6+R6</f>
        <v>653.36829290177525</v>
      </c>
      <c r="T6" s="189">
        <f>T23+T45+T63</f>
        <v>726.66800000000001</v>
      </c>
      <c r="U6" s="198">
        <f>T6-S6</f>
        <v>73.299707098224758</v>
      </c>
      <c r="V6" s="144"/>
    </row>
    <row r="7" spans="1:26" ht="15.65" thickBot="1">
      <c r="A7" s="122"/>
      <c r="B7" s="114" t="s">
        <v>20</v>
      </c>
      <c r="C7" s="125">
        <f t="shared" si="0"/>
        <v>0</v>
      </c>
      <c r="D7" s="224">
        <f t="shared" ref="D7:H7" si="7">D24+D46+D64</f>
        <v>0</v>
      </c>
      <c r="E7" s="224">
        <f t="shared" si="7"/>
        <v>31.617260000000002</v>
      </c>
      <c r="F7" s="224">
        <f t="shared" si="7"/>
        <v>96.561720000000008</v>
      </c>
      <c r="G7" s="224">
        <f t="shared" si="7"/>
        <v>73.10123999999999</v>
      </c>
      <c r="H7" s="224">
        <f t="shared" si="7"/>
        <v>56.141999999999996</v>
      </c>
      <c r="I7" s="243">
        <f>I24+I46+I64</f>
        <v>32.09008</v>
      </c>
      <c r="J7" s="75">
        <f t="shared" si="2"/>
        <v>289.51230000000004</v>
      </c>
      <c r="K7" s="126">
        <f t="shared" si="3"/>
        <v>48.252050000000004</v>
      </c>
      <c r="L7" s="224">
        <f t="shared" ref="L7:Q7" si="8">L24+L46+L64</f>
        <v>14.51693</v>
      </c>
      <c r="M7" s="224">
        <f t="shared" si="8"/>
        <v>31.110109999999999</v>
      </c>
      <c r="N7" s="170">
        <f t="shared" si="8"/>
        <v>29.230419999999999</v>
      </c>
      <c r="O7" s="170">
        <f t="shared" si="8"/>
        <v>35.537976329345824</v>
      </c>
      <c r="P7" s="170">
        <f t="shared" si="8"/>
        <v>43.960442403088841</v>
      </c>
      <c r="Q7" s="171">
        <f t="shared" si="8"/>
        <v>209.50091416934066</v>
      </c>
      <c r="R7" s="17">
        <f t="shared" si="5"/>
        <v>363.85679290177529</v>
      </c>
      <c r="S7" s="18">
        <f t="shared" si="6"/>
        <v>653.36909290177528</v>
      </c>
      <c r="T7" s="179">
        <f>T24+T46+T64</f>
        <v>726.66800000000001</v>
      </c>
      <c r="U7" s="199">
        <f>T7-S7</f>
        <v>73.298907098224731</v>
      </c>
      <c r="V7" s="144"/>
    </row>
    <row r="8" spans="1:26" hidden="1">
      <c r="A8" s="9" t="s">
        <v>23</v>
      </c>
      <c r="B8" s="59" t="s">
        <v>30</v>
      </c>
      <c r="C8" s="103">
        <f t="shared" si="0"/>
        <v>0</v>
      </c>
      <c r="D8" s="77">
        <v>48.021999999999998</v>
      </c>
      <c r="E8" s="77">
        <v>43.341999999999999</v>
      </c>
      <c r="F8" s="77">
        <v>30.576000000000001</v>
      </c>
      <c r="G8" s="77">
        <v>9.0079999999999991</v>
      </c>
      <c r="H8" s="77">
        <v>0.43099999999999999</v>
      </c>
      <c r="I8" s="78">
        <v>0.80500000000000005</v>
      </c>
      <c r="J8" s="79">
        <f t="shared" si="2"/>
        <v>132.18400000000003</v>
      </c>
      <c r="K8" s="80">
        <f t="shared" si="3"/>
        <v>22.030666666666672</v>
      </c>
      <c r="L8" s="76">
        <v>0.79200000000000004</v>
      </c>
      <c r="M8" s="77">
        <v>0.61499999999999999</v>
      </c>
      <c r="N8" s="77">
        <v>0.71099999999999997</v>
      </c>
      <c r="O8" s="77">
        <v>13.962</v>
      </c>
      <c r="P8" s="77">
        <v>29.587</v>
      </c>
      <c r="Q8" s="78">
        <v>15.047000000000001</v>
      </c>
      <c r="R8" s="79">
        <f t="shared" si="5"/>
        <v>60.713999999999999</v>
      </c>
      <c r="S8" s="80">
        <f t="shared" si="6"/>
        <v>192.89800000000002</v>
      </c>
      <c r="T8" s="190"/>
      <c r="U8" s="187"/>
      <c r="V8" s="144"/>
    </row>
    <row r="9" spans="1:26" hidden="1">
      <c r="A9" s="11">
        <v>2271</v>
      </c>
      <c r="B9" s="59" t="s">
        <v>31</v>
      </c>
      <c r="C9" s="103">
        <f t="shared" si="0"/>
        <v>0</v>
      </c>
      <c r="D9" s="77">
        <v>9.7789999999999999</v>
      </c>
      <c r="E9" s="77">
        <v>44.210999999999999</v>
      </c>
      <c r="F9" s="77">
        <v>29.702000000000002</v>
      </c>
      <c r="G9" s="77">
        <v>16.268000000000001</v>
      </c>
      <c r="H9" s="77">
        <v>0.42799999999999999</v>
      </c>
      <c r="I9" s="78">
        <v>0.8</v>
      </c>
      <c r="J9" s="81">
        <f t="shared" si="2"/>
        <v>101.18799999999999</v>
      </c>
      <c r="K9" s="82">
        <f t="shared" si="3"/>
        <v>16.864666666666665</v>
      </c>
      <c r="L9" s="127">
        <v>0.72899999999999998</v>
      </c>
      <c r="M9" s="128">
        <v>0.57299999999999995</v>
      </c>
      <c r="N9" s="128">
        <v>0.69099999999999995</v>
      </c>
      <c r="O9" s="128">
        <v>13.622</v>
      </c>
      <c r="P9" s="128">
        <v>26.771000000000001</v>
      </c>
      <c r="Q9" s="7">
        <v>21.417000000000002</v>
      </c>
      <c r="R9" s="81">
        <f t="shared" si="5"/>
        <v>63.803000000000004</v>
      </c>
      <c r="S9" s="82">
        <f t="shared" si="6"/>
        <v>164.99099999999999</v>
      </c>
      <c r="T9" s="191"/>
      <c r="U9" s="188"/>
      <c r="V9" s="144"/>
    </row>
    <row r="10" spans="1:26" hidden="1">
      <c r="A10" s="11">
        <v>2271</v>
      </c>
      <c r="B10" s="59" t="s">
        <v>32</v>
      </c>
      <c r="C10" s="103">
        <f t="shared" si="0"/>
        <v>0</v>
      </c>
      <c r="D10" s="77">
        <v>48.901000000000003</v>
      </c>
      <c r="E10" s="77">
        <v>39.18</v>
      </c>
      <c r="F10" s="77">
        <v>19.748999999999999</v>
      </c>
      <c r="G10" s="77">
        <v>7.851</v>
      </c>
      <c r="H10" s="77">
        <v>0.379</v>
      </c>
      <c r="I10" s="78">
        <v>0</v>
      </c>
      <c r="J10" s="81">
        <f t="shared" si="2"/>
        <v>116.06</v>
      </c>
      <c r="K10" s="82">
        <f t="shared" si="3"/>
        <v>19.343333333333334</v>
      </c>
      <c r="L10" s="87">
        <v>0</v>
      </c>
      <c r="M10" s="78">
        <v>0</v>
      </c>
      <c r="N10" s="78">
        <v>0</v>
      </c>
      <c r="O10" s="128">
        <v>10.488</v>
      </c>
      <c r="P10" s="128">
        <v>26.550999999999998</v>
      </c>
      <c r="Q10" s="7">
        <f>31.2+C11</f>
        <v>31.2</v>
      </c>
      <c r="R10" s="81">
        <f t="shared" si="5"/>
        <v>68.239000000000004</v>
      </c>
      <c r="S10" s="82">
        <f t="shared" si="6"/>
        <v>184.29900000000001</v>
      </c>
      <c r="T10" s="135"/>
      <c r="U10" s="104"/>
      <c r="V10" s="144"/>
    </row>
    <row r="11" spans="1:26" hidden="1">
      <c r="A11" s="11">
        <v>2271</v>
      </c>
      <c r="B11" s="59" t="s">
        <v>33</v>
      </c>
      <c r="C11" s="103">
        <f t="shared" si="0"/>
        <v>0</v>
      </c>
      <c r="D11" s="77">
        <v>11.843</v>
      </c>
      <c r="E11" s="77">
        <v>53.152999999999999</v>
      </c>
      <c r="F11" s="77">
        <v>27.785</v>
      </c>
      <c r="G11" s="77">
        <v>0</v>
      </c>
      <c r="H11" s="77">
        <v>0</v>
      </c>
      <c r="I11" s="78">
        <v>0</v>
      </c>
      <c r="J11" s="81">
        <f t="shared" si="2"/>
        <v>92.780999999999992</v>
      </c>
      <c r="K11" s="82">
        <f t="shared" si="3"/>
        <v>15.463499999999998</v>
      </c>
      <c r="L11" s="87">
        <v>0</v>
      </c>
      <c r="M11" s="78">
        <v>0</v>
      </c>
      <c r="N11" s="78">
        <v>0</v>
      </c>
      <c r="O11" s="128">
        <v>3.6960000000000002</v>
      </c>
      <c r="P11" s="128">
        <v>22.925799999999999</v>
      </c>
      <c r="Q11" s="7">
        <f>50.17+C12</f>
        <v>50.17</v>
      </c>
      <c r="R11" s="81">
        <f t="shared" si="5"/>
        <v>76.791799999999995</v>
      </c>
      <c r="S11" s="82">
        <f t="shared" si="6"/>
        <v>169.57279999999997</v>
      </c>
      <c r="T11" s="186"/>
      <c r="U11" s="183"/>
      <c r="V11" s="144"/>
    </row>
    <row r="12" spans="1:26" hidden="1">
      <c r="A12" s="11">
        <v>2271</v>
      </c>
      <c r="B12" s="59" t="s">
        <v>34</v>
      </c>
      <c r="C12" s="76"/>
      <c r="D12" s="77">
        <v>48.484000000000002</v>
      </c>
      <c r="E12" s="77">
        <v>36.427</v>
      </c>
      <c r="F12" s="77">
        <v>35.447000000000003</v>
      </c>
      <c r="G12" s="77">
        <v>4.1449999999999996</v>
      </c>
      <c r="H12" s="77">
        <v>0</v>
      </c>
      <c r="I12" s="78">
        <v>0</v>
      </c>
      <c r="J12" s="81">
        <f t="shared" si="2"/>
        <v>124.503</v>
      </c>
      <c r="K12" s="82">
        <f t="shared" si="3"/>
        <v>20.750499999999999</v>
      </c>
      <c r="L12" s="87">
        <v>0</v>
      </c>
      <c r="M12" s="78">
        <v>0</v>
      </c>
      <c r="N12" s="78">
        <v>0</v>
      </c>
      <c r="O12" s="78">
        <v>0</v>
      </c>
      <c r="P12" s="128">
        <v>25.449000000000002</v>
      </c>
      <c r="Q12" s="8">
        <f>32.944+C13</f>
        <v>37.082000000000001</v>
      </c>
      <c r="R12" s="81">
        <f t="shared" si="5"/>
        <v>62.531000000000006</v>
      </c>
      <c r="S12" s="82">
        <f t="shared" si="6"/>
        <v>187.03399999999999</v>
      </c>
      <c r="T12" s="95"/>
      <c r="U12" s="104"/>
      <c r="V12" s="144"/>
    </row>
    <row r="13" spans="1:26" hidden="1">
      <c r="A13" s="11">
        <v>2271</v>
      </c>
      <c r="B13" s="59" t="s">
        <v>35</v>
      </c>
      <c r="C13" s="76">
        <v>4.1379999999999999</v>
      </c>
      <c r="D13" s="77">
        <v>43.933</v>
      </c>
      <c r="E13" s="77">
        <v>31.873929999999998</v>
      </c>
      <c r="F13" s="77">
        <v>23.992719999999998</v>
      </c>
      <c r="G13" s="77">
        <v>6.1719999999999997</v>
      </c>
      <c r="H13" s="77">
        <v>0</v>
      </c>
      <c r="I13" s="78">
        <v>0</v>
      </c>
      <c r="J13" s="81">
        <f t="shared" si="2"/>
        <v>105.97164999999998</v>
      </c>
      <c r="K13" s="82">
        <f t="shared" si="3"/>
        <v>17.661941666666664</v>
      </c>
      <c r="L13" s="87">
        <v>0</v>
      </c>
      <c r="M13" s="78">
        <v>0</v>
      </c>
      <c r="N13" s="78">
        <v>0</v>
      </c>
      <c r="O13" s="78">
        <v>0</v>
      </c>
      <c r="P13" s="128">
        <v>15.943</v>
      </c>
      <c r="Q13" s="8">
        <f>30.239+C14</f>
        <v>38.173000000000002</v>
      </c>
      <c r="R13" s="81">
        <f t="shared" si="5"/>
        <v>54.116</v>
      </c>
      <c r="S13" s="82">
        <f t="shared" si="6"/>
        <v>160.08765</v>
      </c>
      <c r="T13" s="135"/>
      <c r="U13" s="104"/>
      <c r="V13" s="144"/>
    </row>
    <row r="14" spans="1:26" hidden="1">
      <c r="A14" s="11">
        <v>2271</v>
      </c>
      <c r="B14" s="59" t="s">
        <v>37</v>
      </c>
      <c r="C14" s="76">
        <v>7.9340000000000002</v>
      </c>
      <c r="D14" s="76">
        <v>28.748000000000001</v>
      </c>
      <c r="E14" s="76">
        <v>29.681999999999999</v>
      </c>
      <c r="F14" s="76">
        <v>19.292999999999999</v>
      </c>
      <c r="G14" s="76">
        <v>8.5120000000000005</v>
      </c>
      <c r="H14" s="77">
        <v>0</v>
      </c>
      <c r="I14" s="78">
        <v>0</v>
      </c>
      <c r="J14" s="81">
        <f t="shared" si="2"/>
        <v>86.234999999999999</v>
      </c>
      <c r="K14" s="82">
        <f t="shared" si="3"/>
        <v>14.3725</v>
      </c>
      <c r="L14" s="87">
        <v>0</v>
      </c>
      <c r="M14" s="78">
        <v>0</v>
      </c>
      <c r="N14" s="78">
        <v>0</v>
      </c>
      <c r="O14" s="78">
        <v>0</v>
      </c>
      <c r="P14" s="128">
        <v>25.838999999999999</v>
      </c>
      <c r="Q14" s="8">
        <f>11.039+C15</f>
        <v>33.277999999999999</v>
      </c>
      <c r="R14" s="81">
        <f t="shared" si="5"/>
        <v>59.116999999999997</v>
      </c>
      <c r="S14" s="82">
        <f t="shared" si="6"/>
        <v>145.352</v>
      </c>
      <c r="T14" s="146"/>
      <c r="U14" s="183"/>
      <c r="V14" s="144"/>
    </row>
    <row r="15" spans="1:26" hidden="1">
      <c r="A15" s="11">
        <v>2271</v>
      </c>
      <c r="B15" s="59" t="s">
        <v>38</v>
      </c>
      <c r="C15" s="76">
        <v>22.239000000000001</v>
      </c>
      <c r="D15" s="76">
        <v>36.905999999999999</v>
      </c>
      <c r="E15" s="76">
        <v>39.476999999999997</v>
      </c>
      <c r="F15" s="76">
        <v>22.100999999999999</v>
      </c>
      <c r="G15" s="98">
        <v>11.076000000000001</v>
      </c>
      <c r="H15" s="77">
        <v>0</v>
      </c>
      <c r="I15" s="78">
        <v>0</v>
      </c>
      <c r="J15" s="81">
        <f t="shared" si="2"/>
        <v>109.56</v>
      </c>
      <c r="K15" s="82">
        <f t="shared" si="3"/>
        <v>18.260000000000002</v>
      </c>
      <c r="L15" s="87">
        <v>0</v>
      </c>
      <c r="M15" s="78">
        <v>0</v>
      </c>
      <c r="N15" s="78">
        <v>0</v>
      </c>
      <c r="O15" s="78">
        <v>0</v>
      </c>
      <c r="P15" s="128">
        <v>26.385000000000002</v>
      </c>
      <c r="Q15" s="174">
        <f>15.516+C16</f>
        <v>15.516</v>
      </c>
      <c r="R15" s="81">
        <f t="shared" si="5"/>
        <v>41.901000000000003</v>
      </c>
      <c r="S15" s="82">
        <f t="shared" si="6"/>
        <v>151.46100000000001</v>
      </c>
      <c r="T15" s="205"/>
      <c r="U15" s="209"/>
      <c r="V15" s="144"/>
    </row>
    <row r="16" spans="1:26" hidden="1">
      <c r="A16" s="11">
        <v>2271</v>
      </c>
      <c r="B16" s="59" t="s">
        <v>39</v>
      </c>
      <c r="C16" s="76"/>
      <c r="D16" s="76">
        <v>34.22</v>
      </c>
      <c r="E16" s="76">
        <v>27.154</v>
      </c>
      <c r="F16" s="76">
        <v>28.67</v>
      </c>
      <c r="G16" s="156">
        <v>1.3140000000000001</v>
      </c>
      <c r="H16" s="77">
        <v>0</v>
      </c>
      <c r="I16" s="78">
        <v>0</v>
      </c>
      <c r="J16" s="81">
        <f t="shared" si="2"/>
        <v>91.358000000000004</v>
      </c>
      <c r="K16" s="82">
        <f t="shared" si="3"/>
        <v>15.226333333333335</v>
      </c>
      <c r="L16" s="87">
        <v>0</v>
      </c>
      <c r="M16" s="78">
        <v>0</v>
      </c>
      <c r="N16" s="78">
        <v>0</v>
      </c>
      <c r="O16" s="78">
        <v>0</v>
      </c>
      <c r="P16" s="128">
        <v>8.2750000000000004</v>
      </c>
      <c r="Q16" s="175">
        <f>20.941+C17</f>
        <v>20.940999999999999</v>
      </c>
      <c r="R16" s="81">
        <f t="shared" si="5"/>
        <v>29.216000000000001</v>
      </c>
      <c r="S16" s="82">
        <f t="shared" si="6"/>
        <v>120.57400000000001</v>
      </c>
      <c r="T16" s="206"/>
      <c r="U16" s="207"/>
      <c r="V16" s="144"/>
    </row>
    <row r="17" spans="1:26">
      <c r="A17" s="11">
        <v>2271</v>
      </c>
      <c r="B17" s="59" t="s">
        <v>42</v>
      </c>
      <c r="C17" s="76"/>
      <c r="D17" s="76">
        <v>27.571999999999999</v>
      </c>
      <c r="E17" s="76">
        <v>20.908000000000001</v>
      </c>
      <c r="F17" s="76">
        <v>15.609</v>
      </c>
      <c r="G17" s="156">
        <v>0</v>
      </c>
      <c r="H17" s="77">
        <v>0</v>
      </c>
      <c r="I17" s="78">
        <v>0</v>
      </c>
      <c r="J17" s="81">
        <f t="shared" si="2"/>
        <v>64.088999999999999</v>
      </c>
      <c r="K17" s="82">
        <f t="shared" si="3"/>
        <v>10.6815</v>
      </c>
      <c r="L17" s="87">
        <v>0</v>
      </c>
      <c r="M17" s="78">
        <v>0</v>
      </c>
      <c r="N17" s="78">
        <v>0</v>
      </c>
      <c r="O17" s="78">
        <v>0</v>
      </c>
      <c r="P17" s="3">
        <v>16.050599999999999</v>
      </c>
      <c r="Q17" s="204">
        <f>3.819+C18</f>
        <v>3.819</v>
      </c>
      <c r="R17" s="81">
        <f t="shared" si="5"/>
        <v>19.869599999999998</v>
      </c>
      <c r="S17" s="82">
        <f t="shared" si="6"/>
        <v>83.95859999999999</v>
      </c>
      <c r="T17" s="146"/>
      <c r="U17" s="183"/>
      <c r="V17" s="144"/>
    </row>
    <row r="18" spans="1:26">
      <c r="A18" s="11"/>
      <c r="B18" s="59" t="s">
        <v>45</v>
      </c>
      <c r="C18" s="76"/>
      <c r="D18" s="76">
        <v>21.9</v>
      </c>
      <c r="E18" s="76">
        <v>14.004</v>
      </c>
      <c r="F18" s="76">
        <v>13.459</v>
      </c>
      <c r="G18" s="55">
        <v>0</v>
      </c>
      <c r="H18" s="77">
        <v>0</v>
      </c>
      <c r="I18" s="78">
        <v>0</v>
      </c>
      <c r="J18" s="81">
        <f t="shared" si="2"/>
        <v>49.363</v>
      </c>
      <c r="K18" s="82">
        <f t="shared" si="3"/>
        <v>8.2271666666666672</v>
      </c>
      <c r="L18" s="87">
        <v>0</v>
      </c>
      <c r="M18" s="78">
        <v>0</v>
      </c>
      <c r="N18" s="78">
        <v>0</v>
      </c>
      <c r="O18" s="145">
        <v>0</v>
      </c>
      <c r="P18" s="3">
        <v>8.7110000000000003</v>
      </c>
      <c r="Q18" s="212">
        <f>16.214+C19</f>
        <v>16.213999999999999</v>
      </c>
      <c r="R18" s="81">
        <f t="shared" si="5"/>
        <v>24.924999999999997</v>
      </c>
      <c r="S18" s="82">
        <f t="shared" si="6"/>
        <v>74.287999999999997</v>
      </c>
      <c r="T18" s="135"/>
      <c r="U18" s="104"/>
      <c r="V18" s="144"/>
    </row>
    <row r="19" spans="1:26">
      <c r="A19" s="10"/>
      <c r="B19" s="59" t="s">
        <v>46</v>
      </c>
      <c r="C19" s="76"/>
      <c r="D19" s="76">
        <f>46136/3334.942</f>
        <v>13.83412365192558</v>
      </c>
      <c r="E19" s="76">
        <f>13.82958817+3.36159</f>
        <v>17.191178170000001</v>
      </c>
      <c r="F19" s="76">
        <v>8.9</v>
      </c>
      <c r="G19" s="4">
        <v>0</v>
      </c>
      <c r="H19" s="77">
        <v>0</v>
      </c>
      <c r="I19" s="78">
        <v>0</v>
      </c>
      <c r="J19" s="81">
        <f t="shared" si="2"/>
        <v>39.925301821925579</v>
      </c>
      <c r="K19" s="61">
        <f t="shared" si="3"/>
        <v>6.6542169703209302</v>
      </c>
      <c r="L19" s="87">
        <v>0</v>
      </c>
      <c r="M19" s="78">
        <v>0</v>
      </c>
      <c r="N19" s="78">
        <v>0</v>
      </c>
      <c r="O19" s="105">
        <v>0</v>
      </c>
      <c r="P19" s="105">
        <v>19.402000000000001</v>
      </c>
      <c r="Q19" s="105">
        <v>17.408000000000001</v>
      </c>
      <c r="R19" s="85">
        <f t="shared" si="5"/>
        <v>36.81</v>
      </c>
      <c r="S19" s="86">
        <f t="shared" si="6"/>
        <v>76.735301821925589</v>
      </c>
      <c r="T19" s="136">
        <v>90.019000000000005</v>
      </c>
      <c r="U19" s="182">
        <f>T19-S19</f>
        <v>13.283698178074417</v>
      </c>
      <c r="V19" s="144"/>
    </row>
    <row r="20" spans="1:26" s="234" customFormat="1" ht="14.4">
      <c r="A20" s="239"/>
      <c r="B20" s="239" t="s">
        <v>22</v>
      </c>
      <c r="C20" s="236" t="e">
        <f>C21/C19*1000</f>
        <v>#DIV/0!</v>
      </c>
      <c r="D20" s="240">
        <f>D21/D19*1000</f>
        <v>3334.7699616360328</v>
      </c>
      <c r="E20" s="240">
        <f t="shared" ref="E20:I20" si="9">E21/E19*1000</f>
        <v>3284.7079729847278</v>
      </c>
      <c r="F20" s="240">
        <f t="shared" si="9"/>
        <v>3292.8168539325839</v>
      </c>
      <c r="G20" s="240" t="e">
        <f t="shared" si="9"/>
        <v>#DIV/0!</v>
      </c>
      <c r="H20" s="240" t="e">
        <f t="shared" si="9"/>
        <v>#DIV/0!</v>
      </c>
      <c r="I20" s="240" t="e">
        <f t="shared" si="9"/>
        <v>#DIV/0!</v>
      </c>
      <c r="J20" s="241">
        <f>J21/J19*1000</f>
        <v>3303.8620619158578</v>
      </c>
      <c r="K20" s="242">
        <f>K21/K19*1000</f>
        <v>3303.8620619158578</v>
      </c>
      <c r="L20" s="240">
        <v>3096.37</v>
      </c>
      <c r="M20" s="240">
        <v>3096.37</v>
      </c>
      <c r="N20" s="240">
        <v>3096.37</v>
      </c>
      <c r="O20" s="240">
        <v>3096.37</v>
      </c>
      <c r="P20" s="240">
        <v>3096.37</v>
      </c>
      <c r="Q20" s="240">
        <v>3096.37</v>
      </c>
      <c r="R20" s="237">
        <f t="shared" ref="R20:U20" si="10">R21/R19*1000</f>
        <v>3096.37</v>
      </c>
      <c r="S20" s="238">
        <f t="shared" si="10"/>
        <v>3204.3279150788881</v>
      </c>
      <c r="T20" s="237">
        <f t="shared" si="10"/>
        <v>2926.3044468390003</v>
      </c>
      <c r="U20" s="238">
        <f t="shared" si="10"/>
        <v>1320.259619339098</v>
      </c>
      <c r="V20" s="144"/>
      <c r="W20" s="233"/>
      <c r="Z20" s="235"/>
    </row>
    <row r="21" spans="1:26">
      <c r="A21" s="88"/>
      <c r="B21" s="23" t="s">
        <v>21</v>
      </c>
      <c r="C21" s="87"/>
      <c r="D21" s="25">
        <f>(33369.03+11105.58+5661.01-4000-2)/1000</f>
        <v>46.133620000000001</v>
      </c>
      <c r="E21" s="25">
        <f>42.822+13.646</f>
        <v>56.468000000000004</v>
      </c>
      <c r="F21" s="25">
        <f>23.00023+6.75584-0.45</f>
        <v>29.306069999999998</v>
      </c>
      <c r="G21" s="25">
        <v>0</v>
      </c>
      <c r="H21" s="25">
        <v>0</v>
      </c>
      <c r="I21" s="25">
        <v>0</v>
      </c>
      <c r="J21" s="60">
        <f>SUM(D21:I21)</f>
        <v>131.90769</v>
      </c>
      <c r="K21" s="61">
        <f>J21/6</f>
        <v>21.984615000000002</v>
      </c>
      <c r="L21" s="25">
        <f>L19*L20/1000</f>
        <v>0</v>
      </c>
      <c r="M21" s="25">
        <f t="shared" ref="M21:P21" si="11">M19*M20/1000</f>
        <v>0</v>
      </c>
      <c r="N21" s="25">
        <f t="shared" si="11"/>
        <v>0</v>
      </c>
      <c r="O21" s="25">
        <f t="shared" si="11"/>
        <v>0</v>
      </c>
      <c r="P21" s="25">
        <f t="shared" si="11"/>
        <v>60.075770740000003</v>
      </c>
      <c r="Q21" s="25">
        <f>Q19*Q20/1000</f>
        <v>53.901608960000004</v>
      </c>
      <c r="R21" s="60">
        <f>SUM(L21:Q21)</f>
        <v>113.9773797</v>
      </c>
      <c r="S21" s="61">
        <f>J21+R21</f>
        <v>245.8850697</v>
      </c>
      <c r="T21" s="153">
        <v>263.423</v>
      </c>
      <c r="U21" s="180">
        <f>T21-S21</f>
        <v>17.537930299999999</v>
      </c>
      <c r="Z21" s="115"/>
    </row>
    <row r="22" spans="1:26" ht="15.65" thickBot="1">
      <c r="A22" s="102"/>
      <c r="B22" s="16" t="s">
        <v>40</v>
      </c>
      <c r="C22" s="160"/>
      <c r="D22" s="29">
        <f>3.63239+0.033</f>
        <v>3.6653899999999999</v>
      </c>
      <c r="E22" s="29">
        <f>4.08305+0.033</f>
        <v>4.1160500000000004</v>
      </c>
      <c r="F22" s="29">
        <f>4.084+0.0324</f>
        <v>4.1163999999999996</v>
      </c>
      <c r="G22" s="29">
        <f>4.08305+0.0324+0.001</f>
        <v>4.1164500000000004</v>
      </c>
      <c r="H22" s="29">
        <v>4.1159999999999997</v>
      </c>
      <c r="I22" s="29">
        <v>4.1154500000000001</v>
      </c>
      <c r="J22" s="63">
        <f t="shared" ref="J22:J23" si="12">SUM(D22:I22)</f>
        <v>24.245739999999998</v>
      </c>
      <c r="K22" s="64">
        <f t="shared" ref="K22:K23" si="13">J22/6</f>
        <v>4.0409566666666663</v>
      </c>
      <c r="L22" s="29">
        <v>4.1150000000000002</v>
      </c>
      <c r="M22" s="29">
        <v>4.1154500000000001</v>
      </c>
      <c r="N22" s="29">
        <v>5.1120000000000001</v>
      </c>
      <c r="O22" s="29">
        <v>5.1120000000000001</v>
      </c>
      <c r="P22" s="29">
        <v>5.1130000000000004</v>
      </c>
      <c r="Q22" s="29">
        <v>5.1130000000000004</v>
      </c>
      <c r="R22" s="63">
        <f t="shared" ref="R22:R23" si="14">SUM(L22:Q22)</f>
        <v>28.68045</v>
      </c>
      <c r="S22" s="64">
        <f>J22+R22</f>
        <v>52.926189999999998</v>
      </c>
      <c r="T22" s="154">
        <v>61.345999999999997</v>
      </c>
      <c r="U22" s="181">
        <f t="shared" ref="U22:U24" si="15">T22-S22</f>
        <v>8.4198099999999982</v>
      </c>
      <c r="Z22" s="115"/>
    </row>
    <row r="23" spans="1:26">
      <c r="A23" s="111"/>
      <c r="B23" s="19" t="s">
        <v>41</v>
      </c>
      <c r="C23" s="55">
        <f>C21+C22</f>
        <v>0</v>
      </c>
      <c r="D23" s="57">
        <f>D21+D22</f>
        <v>49.799010000000003</v>
      </c>
      <c r="E23" s="20">
        <f t="shared" ref="E23:G23" si="16">E21+E22</f>
        <v>60.584050000000005</v>
      </c>
      <c r="F23" s="20">
        <f>F21+F22</f>
        <v>33.422469999999997</v>
      </c>
      <c r="G23" s="20">
        <f t="shared" si="16"/>
        <v>4.1164500000000004</v>
      </c>
      <c r="H23" s="20">
        <f>H21+H22</f>
        <v>4.1159999999999997</v>
      </c>
      <c r="I23" s="20">
        <f t="shared" ref="I23" si="17">I21+I22</f>
        <v>4.1154500000000001</v>
      </c>
      <c r="J23" s="85">
        <f t="shared" si="12"/>
        <v>156.15343000000001</v>
      </c>
      <c r="K23" s="86">
        <f t="shared" si="13"/>
        <v>26.025571666666668</v>
      </c>
      <c r="L23" s="57">
        <f t="shared" ref="L23:M23" si="18">L21+L22</f>
        <v>4.1150000000000002</v>
      </c>
      <c r="M23" s="57">
        <f t="shared" si="18"/>
        <v>4.1154500000000001</v>
      </c>
      <c r="N23" s="120">
        <f t="shared" ref="N23:O23" si="19">N21+N22</f>
        <v>5.1120000000000001</v>
      </c>
      <c r="O23" s="120">
        <f t="shared" si="19"/>
        <v>5.1120000000000001</v>
      </c>
      <c r="P23" s="120">
        <f>P21+P22</f>
        <v>65.18877074000001</v>
      </c>
      <c r="Q23" s="120">
        <f>Q21+Q22</f>
        <v>59.014608960000004</v>
      </c>
      <c r="R23" s="85">
        <f t="shared" si="14"/>
        <v>142.65782970000001</v>
      </c>
      <c r="S23" s="86">
        <f>J23+R23</f>
        <v>298.81125970000005</v>
      </c>
      <c r="T23" s="192">
        <f>T21+T22</f>
        <v>324.76900000000001</v>
      </c>
      <c r="U23" s="182">
        <f t="shared" si="15"/>
        <v>25.957740299999955</v>
      </c>
      <c r="V23" s="208"/>
      <c r="Z23" s="115"/>
    </row>
    <row r="24" spans="1:26" ht="15.65" thickBot="1">
      <c r="A24" s="16"/>
      <c r="B24" s="33" t="s">
        <v>43</v>
      </c>
      <c r="C24" s="167"/>
      <c r="D24" s="29">
        <v>0</v>
      </c>
      <c r="E24" s="223">
        <v>16.952159999999999</v>
      </c>
      <c r="F24" s="223">
        <v>55.753</v>
      </c>
      <c r="G24" s="223">
        <v>47.247999999999998</v>
      </c>
      <c r="H24" s="223">
        <v>27.260999999999999</v>
      </c>
      <c r="I24" s="223">
        <v>5.2740900000000002</v>
      </c>
      <c r="J24" s="30">
        <f>SUM(D24:I24)</f>
        <v>152.48824999999999</v>
      </c>
      <c r="K24" s="31">
        <f t="shared" ref="K24:K25" si="20">J24/6</f>
        <v>25.414708333333333</v>
      </c>
      <c r="L24" s="223">
        <v>3.665</v>
      </c>
      <c r="M24" s="223">
        <v>4.56609</v>
      </c>
      <c r="N24" s="29">
        <f t="shared" ref="N24:P24" si="21">M23</f>
        <v>4.1154500000000001</v>
      </c>
      <c r="O24" s="29">
        <f t="shared" si="21"/>
        <v>5.1120000000000001</v>
      </c>
      <c r="P24" s="29">
        <f t="shared" si="21"/>
        <v>5.1120000000000001</v>
      </c>
      <c r="Q24" s="29">
        <f>P23+Q23-0.451</f>
        <v>123.75237970000002</v>
      </c>
      <c r="R24" s="30">
        <f>SUM(L24:Q24)</f>
        <v>146.32291970000003</v>
      </c>
      <c r="S24" s="31">
        <f>J24+R24</f>
        <v>298.81116970000005</v>
      </c>
      <c r="T24" s="162">
        <f>S25</f>
        <v>324.76900000000001</v>
      </c>
      <c r="U24" s="180">
        <f t="shared" si="15"/>
        <v>25.957830299999955</v>
      </c>
      <c r="V24" s="144">
        <f>C23+S23-S24</f>
        <v>9.0000000000145519E-5</v>
      </c>
      <c r="W24" s="115"/>
      <c r="Z24" s="12"/>
    </row>
    <row r="25" spans="1:26">
      <c r="A25" s="66"/>
      <c r="B25" s="66" t="s">
        <v>28</v>
      </c>
      <c r="C25" s="67"/>
      <c r="D25" s="68">
        <v>0</v>
      </c>
      <c r="E25" s="68">
        <v>67.412999999999997</v>
      </c>
      <c r="F25" s="68">
        <v>18.721</v>
      </c>
      <c r="G25" s="68">
        <v>33.819000000000003</v>
      </c>
      <c r="H25" s="68">
        <v>28.515999999999998</v>
      </c>
      <c r="I25" s="68">
        <v>4.1120000000000001</v>
      </c>
      <c r="J25" s="70">
        <f>SUM(D25:I25)</f>
        <v>152.58099999999999</v>
      </c>
      <c r="K25" s="71">
        <f t="shared" si="20"/>
        <v>25.430166666666665</v>
      </c>
      <c r="L25" s="67">
        <v>4.0220000000000002</v>
      </c>
      <c r="M25" s="67">
        <v>4.1219999999999999</v>
      </c>
      <c r="N25" s="67">
        <v>5.1120000000000001</v>
      </c>
      <c r="O25" s="67">
        <v>5.1120000000000001</v>
      </c>
      <c r="P25" s="67">
        <v>5.1120000000000001</v>
      </c>
      <c r="Q25" s="69">
        <v>148.708</v>
      </c>
      <c r="R25" s="70">
        <f>SUM(L25:Q25)</f>
        <v>172.18799999999999</v>
      </c>
      <c r="S25" s="71">
        <f t="shared" ref="S25" si="22">J25+R25</f>
        <v>324.76900000000001</v>
      </c>
      <c r="T25" s="193"/>
      <c r="U25" s="72"/>
      <c r="V25" s="144"/>
    </row>
    <row r="26" spans="1:26">
      <c r="A26" s="41"/>
      <c r="B26" s="41" t="s">
        <v>2</v>
      </c>
      <c r="C26" s="42"/>
      <c r="D26" s="43">
        <f t="shared" ref="D26:I26" si="23">D25-D24</f>
        <v>0</v>
      </c>
      <c r="E26" s="43">
        <f>E25-E24</f>
        <v>50.460839999999997</v>
      </c>
      <c r="F26" s="43">
        <f>F25-F24</f>
        <v>-37.031999999999996</v>
      </c>
      <c r="G26" s="43">
        <f t="shared" si="23"/>
        <v>-13.428999999999995</v>
      </c>
      <c r="H26" s="43">
        <f t="shared" si="23"/>
        <v>1.254999999999999</v>
      </c>
      <c r="I26" s="43">
        <f t="shared" si="23"/>
        <v>-1.1620900000000001</v>
      </c>
      <c r="J26" s="53">
        <f>SUM(D26:I26)</f>
        <v>9.2750000000004995E-2</v>
      </c>
      <c r="K26" s="54">
        <f t="shared" ref="K26:K41" si="24">J26/6</f>
        <v>1.5458333333334165E-2</v>
      </c>
      <c r="L26" s="43">
        <f t="shared" ref="L26:Q26" si="25">L25-L24</f>
        <v>0.35700000000000021</v>
      </c>
      <c r="M26" s="43">
        <f t="shared" si="25"/>
        <v>-0.4440900000000001</v>
      </c>
      <c r="N26" s="43">
        <f t="shared" si="25"/>
        <v>0.99655000000000005</v>
      </c>
      <c r="O26" s="43">
        <f t="shared" si="25"/>
        <v>0</v>
      </c>
      <c r="P26" s="43">
        <f t="shared" si="25"/>
        <v>0</v>
      </c>
      <c r="Q26" s="43">
        <f t="shared" si="25"/>
        <v>24.955620299999978</v>
      </c>
      <c r="R26" s="53">
        <f>SUM(L26:Q26)</f>
        <v>25.865080299999978</v>
      </c>
      <c r="S26" s="54">
        <f t="shared" ref="S26:S38" si="26">J26+R26</f>
        <v>25.957830299999983</v>
      </c>
      <c r="T26" s="194"/>
      <c r="U26" s="45"/>
      <c r="V26" s="144"/>
    </row>
    <row r="27" spans="1:26" ht="15.65" thickBot="1">
      <c r="A27" s="46"/>
      <c r="B27" s="46" t="s">
        <v>29</v>
      </c>
      <c r="C27" s="47"/>
      <c r="D27" s="48">
        <f>D26</f>
        <v>0</v>
      </c>
      <c r="E27" s="48">
        <f>D27+E26</f>
        <v>50.460839999999997</v>
      </c>
      <c r="F27" s="48">
        <f>E27+F26</f>
        <v>13.428840000000001</v>
      </c>
      <c r="G27" s="48">
        <f>F27+G26</f>
        <v>-1.5999999999394277E-4</v>
      </c>
      <c r="H27" s="48">
        <f>G27+H26</f>
        <v>1.2548400000000051</v>
      </c>
      <c r="I27" s="49">
        <f>H27+I26</f>
        <v>9.2750000000004995E-2</v>
      </c>
      <c r="J27" s="50">
        <f>(D25+E25+F25+G25+H25+I25)-(D24+E24+F24+G24+H24+I24)</f>
        <v>9.2749999999995225E-2</v>
      </c>
      <c r="K27" s="51">
        <f t="shared" si="24"/>
        <v>1.5458333333332538E-2</v>
      </c>
      <c r="L27" s="47">
        <f>I27+L26</f>
        <v>0.4497500000000052</v>
      </c>
      <c r="M27" s="48">
        <f>L27+M26</f>
        <v>5.6600000000051054E-3</v>
      </c>
      <c r="N27" s="48">
        <f>M27+N26</f>
        <v>1.0022100000000052</v>
      </c>
      <c r="O27" s="48">
        <f>N27+O26</f>
        <v>1.0022100000000052</v>
      </c>
      <c r="P27" s="48">
        <f>O27+P26</f>
        <v>1.0022100000000052</v>
      </c>
      <c r="Q27" s="49">
        <f>P27+Q26</f>
        <v>25.957830299999983</v>
      </c>
      <c r="R27" s="50">
        <f>(L25+M25+N25+O25+P25+Q25)-(L24+M24+N24+O24+P24+Q24)</f>
        <v>25.86508029999996</v>
      </c>
      <c r="S27" s="51">
        <f t="shared" si="26"/>
        <v>25.957830299999955</v>
      </c>
      <c r="T27" s="195"/>
      <c r="U27" s="52"/>
      <c r="V27" s="144"/>
    </row>
    <row r="28" spans="1:26" ht="14.4" hidden="1">
      <c r="A28" s="9" t="s">
        <v>24</v>
      </c>
      <c r="B28" s="13" t="s">
        <v>30</v>
      </c>
      <c r="C28" s="89"/>
      <c r="D28" s="77">
        <v>116.577</v>
      </c>
      <c r="E28" s="77">
        <v>106.18</v>
      </c>
      <c r="F28" s="77">
        <v>102.643</v>
      </c>
      <c r="G28" s="77">
        <v>103.5</v>
      </c>
      <c r="H28" s="77">
        <v>79.599999999999994</v>
      </c>
      <c r="I28" s="78">
        <v>106.8</v>
      </c>
      <c r="J28" s="90">
        <f t="shared" ref="J28:J41" si="27">SUM(D28:I28)</f>
        <v>615.29999999999995</v>
      </c>
      <c r="K28" s="91">
        <f t="shared" si="24"/>
        <v>102.55</v>
      </c>
      <c r="L28" s="76">
        <v>91.3</v>
      </c>
      <c r="M28" s="77">
        <v>79</v>
      </c>
      <c r="N28" s="77">
        <v>86.9</v>
      </c>
      <c r="O28" s="103">
        <v>141.6</v>
      </c>
      <c r="P28" s="77">
        <v>114.7</v>
      </c>
      <c r="Q28" s="78">
        <v>14.324999999999999</v>
      </c>
      <c r="R28" s="90">
        <f t="shared" ref="R28:R41" si="28">SUM(L28:Q28)</f>
        <v>527.82500000000016</v>
      </c>
      <c r="S28" s="91">
        <f t="shared" si="26"/>
        <v>1143.125</v>
      </c>
      <c r="T28" s="196"/>
      <c r="U28" s="200"/>
      <c r="V28" s="144"/>
    </row>
    <row r="29" spans="1:26" ht="14.4" hidden="1">
      <c r="A29" s="11">
        <v>2272</v>
      </c>
      <c r="B29" s="23" t="s">
        <v>31</v>
      </c>
      <c r="C29" s="76"/>
      <c r="D29" s="77">
        <v>23.4</v>
      </c>
      <c r="E29" s="77">
        <v>97.1</v>
      </c>
      <c r="F29" s="77">
        <v>113.9</v>
      </c>
      <c r="G29" s="77">
        <v>115.5</v>
      </c>
      <c r="H29" s="77">
        <v>103.9</v>
      </c>
      <c r="I29" s="78">
        <v>73.599999999999994</v>
      </c>
      <c r="J29" s="60">
        <f t="shared" si="27"/>
        <v>527.4</v>
      </c>
      <c r="K29" s="61">
        <f t="shared" si="24"/>
        <v>87.899999999999991</v>
      </c>
      <c r="L29" s="76">
        <v>63.4</v>
      </c>
      <c r="M29" s="77">
        <v>88.6</v>
      </c>
      <c r="N29" s="77">
        <v>129.5</v>
      </c>
      <c r="O29" s="77">
        <v>102.6</v>
      </c>
      <c r="P29" s="77">
        <v>16.094000000000001</v>
      </c>
      <c r="Q29" s="78">
        <v>77.3</v>
      </c>
      <c r="R29" s="60">
        <f t="shared" si="28"/>
        <v>477.49400000000003</v>
      </c>
      <c r="S29" s="61">
        <f t="shared" si="26"/>
        <v>1004.894</v>
      </c>
      <c r="T29" s="110"/>
      <c r="U29" s="27"/>
      <c r="V29" s="144"/>
    </row>
    <row r="30" spans="1:26" hidden="1" thickBot="1">
      <c r="A30" s="11">
        <v>2272</v>
      </c>
      <c r="B30" s="23" t="s">
        <v>32</v>
      </c>
      <c r="C30" s="76">
        <v>77.3</v>
      </c>
      <c r="D30" s="77">
        <v>86.174000000000007</v>
      </c>
      <c r="E30" s="77">
        <v>74.13</v>
      </c>
      <c r="F30" s="77">
        <v>74.891999999999996</v>
      </c>
      <c r="G30" s="77">
        <v>76.361999999999995</v>
      </c>
      <c r="H30" s="77">
        <v>129.62799999999999</v>
      </c>
      <c r="I30" s="78">
        <v>136.94</v>
      </c>
      <c r="J30" s="60">
        <f t="shared" si="27"/>
        <v>578.12599999999998</v>
      </c>
      <c r="K30" s="61">
        <f t="shared" si="24"/>
        <v>96.354333333333329</v>
      </c>
      <c r="L30" s="76">
        <v>66.933999999999997</v>
      </c>
      <c r="M30" s="76">
        <v>144.99</v>
      </c>
      <c r="N30" s="76">
        <v>113.884</v>
      </c>
      <c r="O30" s="76">
        <v>37.5</v>
      </c>
      <c r="P30" s="76">
        <v>78.593999999999994</v>
      </c>
      <c r="Q30" s="87">
        <f>192.298+C31</f>
        <v>363.49799999999999</v>
      </c>
      <c r="R30" s="83">
        <f t="shared" si="28"/>
        <v>805.4</v>
      </c>
      <c r="S30" s="84">
        <f t="shared" si="26"/>
        <v>1383.5259999999998</v>
      </c>
      <c r="T30" s="110"/>
      <c r="U30" s="27"/>
      <c r="V30" s="144"/>
    </row>
    <row r="31" spans="1:26" ht="14.4" hidden="1">
      <c r="A31" s="11">
        <v>2272</v>
      </c>
      <c r="B31" s="23" t="s">
        <v>33</v>
      </c>
      <c r="C31" s="76">
        <v>171.2</v>
      </c>
      <c r="D31" s="77">
        <v>34.654000000000003</v>
      </c>
      <c r="E31" s="77">
        <v>50.058</v>
      </c>
      <c r="F31" s="77">
        <v>101.19799999999999</v>
      </c>
      <c r="G31" s="77">
        <v>64.548000000000002</v>
      </c>
      <c r="H31" s="77">
        <v>66.311999999999998</v>
      </c>
      <c r="I31" s="78">
        <v>63.173999999999999</v>
      </c>
      <c r="J31" s="60">
        <f t="shared" si="27"/>
        <v>379.94399999999996</v>
      </c>
      <c r="K31" s="61">
        <f t="shared" si="24"/>
        <v>63.323999999999991</v>
      </c>
      <c r="L31" s="76">
        <v>30.148</v>
      </c>
      <c r="M31" s="76">
        <v>60.32</v>
      </c>
      <c r="N31" s="76">
        <v>66.073999999999998</v>
      </c>
      <c r="O31" s="76">
        <v>62.06</v>
      </c>
      <c r="P31" s="76">
        <v>65.47</v>
      </c>
      <c r="Q31" s="87">
        <f>47.76+C32</f>
        <v>47.76</v>
      </c>
      <c r="R31" s="116">
        <f t="shared" si="28"/>
        <v>331.83199999999999</v>
      </c>
      <c r="S31" s="117">
        <f t="shared" si="26"/>
        <v>711.77599999999995</v>
      </c>
      <c r="T31" s="110"/>
      <c r="U31" s="22"/>
      <c r="V31" s="144"/>
    </row>
    <row r="32" spans="1:26" ht="14.4" hidden="1">
      <c r="A32" s="11">
        <v>2272</v>
      </c>
      <c r="B32" s="23" t="s">
        <v>34</v>
      </c>
      <c r="C32" s="76"/>
      <c r="D32" s="77">
        <v>54.915999999999997</v>
      </c>
      <c r="E32" s="77">
        <v>75.323999999999998</v>
      </c>
      <c r="F32" s="77">
        <v>85.016000000000005</v>
      </c>
      <c r="G32" s="77">
        <v>54.148000000000003</v>
      </c>
      <c r="H32" s="77">
        <v>71.103999999999999</v>
      </c>
      <c r="I32" s="78">
        <v>56.825000000000003</v>
      </c>
      <c r="J32" s="60">
        <f t="shared" si="27"/>
        <v>397.33300000000003</v>
      </c>
      <c r="K32" s="61">
        <f t="shared" si="24"/>
        <v>66.222166666666666</v>
      </c>
      <c r="L32" s="76">
        <v>57.277999999999999</v>
      </c>
      <c r="M32" s="76">
        <v>59.87</v>
      </c>
      <c r="N32" s="76">
        <v>68.334000000000003</v>
      </c>
      <c r="O32" s="76">
        <v>92.683999999999997</v>
      </c>
      <c r="P32" s="76">
        <v>74.174000000000007</v>
      </c>
      <c r="Q32" s="87">
        <f>79.68+C33</f>
        <v>81.428000000000011</v>
      </c>
      <c r="R32" s="85">
        <f t="shared" si="28"/>
        <v>433.76800000000003</v>
      </c>
      <c r="S32" s="86">
        <f t="shared" si="26"/>
        <v>831.10100000000011</v>
      </c>
      <c r="T32" s="110"/>
      <c r="U32" s="27"/>
      <c r="V32" s="144"/>
    </row>
    <row r="33" spans="1:26" ht="14.4" hidden="1">
      <c r="A33" s="11">
        <v>2272</v>
      </c>
      <c r="B33" s="23" t="s">
        <v>35</v>
      </c>
      <c r="C33" s="76">
        <v>1.748</v>
      </c>
      <c r="D33" s="77">
        <v>56.236000000000004</v>
      </c>
      <c r="E33" s="77">
        <v>68.628</v>
      </c>
      <c r="F33" s="77">
        <v>78.507999999999996</v>
      </c>
      <c r="G33" s="77">
        <v>69.058000000000007</v>
      </c>
      <c r="H33" s="77">
        <v>62.735999999999997</v>
      </c>
      <c r="I33" s="78">
        <v>143.404</v>
      </c>
      <c r="J33" s="60">
        <f t="shared" si="27"/>
        <v>478.57</v>
      </c>
      <c r="K33" s="61">
        <f t="shared" si="24"/>
        <v>79.76166666666667</v>
      </c>
      <c r="L33" s="76">
        <v>75.798000000000002</v>
      </c>
      <c r="M33" s="76">
        <v>78.28</v>
      </c>
      <c r="N33" s="76">
        <v>85.816000000000003</v>
      </c>
      <c r="O33" s="76">
        <v>66.430000000000007</v>
      </c>
      <c r="P33" s="76">
        <v>54.8</v>
      </c>
      <c r="Q33" s="87">
        <f>18.404+C34</f>
        <v>53.593999999999994</v>
      </c>
      <c r="R33" s="85">
        <f t="shared" si="28"/>
        <v>414.71800000000002</v>
      </c>
      <c r="S33" s="86">
        <f t="shared" si="26"/>
        <v>893.28800000000001</v>
      </c>
      <c r="T33" s="110"/>
      <c r="U33" s="22"/>
      <c r="V33" s="144"/>
    </row>
    <row r="34" spans="1:26" ht="14.4" hidden="1">
      <c r="A34" s="11">
        <v>2272</v>
      </c>
      <c r="B34" s="23" t="s">
        <v>37</v>
      </c>
      <c r="C34" s="76">
        <v>35.19</v>
      </c>
      <c r="D34" s="77">
        <v>60.59</v>
      </c>
      <c r="E34" s="77">
        <v>67.424000000000007</v>
      </c>
      <c r="F34" s="77">
        <v>67.92</v>
      </c>
      <c r="G34" s="77">
        <v>51.984000000000002</v>
      </c>
      <c r="H34" s="77">
        <v>42.597999999999999</v>
      </c>
      <c r="I34" s="78">
        <v>49.628</v>
      </c>
      <c r="J34" s="60">
        <f t="shared" si="27"/>
        <v>340.14400000000001</v>
      </c>
      <c r="K34" s="61">
        <f t="shared" si="24"/>
        <v>56.690666666666665</v>
      </c>
      <c r="L34" s="76">
        <v>74.724000000000004</v>
      </c>
      <c r="M34" s="76">
        <v>66.873999999999995</v>
      </c>
      <c r="N34" s="76">
        <v>55.758000000000003</v>
      </c>
      <c r="O34" s="76">
        <v>53.316000000000003</v>
      </c>
      <c r="P34" s="76">
        <v>57.085999999999999</v>
      </c>
      <c r="Q34" s="87">
        <f>26.696+C35</f>
        <v>111.27</v>
      </c>
      <c r="R34" s="85">
        <f t="shared" si="28"/>
        <v>419.02800000000002</v>
      </c>
      <c r="S34" s="86">
        <f t="shared" si="26"/>
        <v>759.17200000000003</v>
      </c>
      <c r="T34" s="108"/>
      <c r="U34" s="22"/>
      <c r="V34" s="144"/>
    </row>
    <row r="35" spans="1:26" ht="14.4" hidden="1">
      <c r="A35" s="11">
        <v>2272</v>
      </c>
      <c r="B35" s="23" t="s">
        <v>38</v>
      </c>
      <c r="C35" s="76">
        <v>84.573999999999998</v>
      </c>
      <c r="D35" s="77">
        <v>58.186</v>
      </c>
      <c r="E35" s="77">
        <v>58.704000000000001</v>
      </c>
      <c r="F35" s="77">
        <v>57.857999999999997</v>
      </c>
      <c r="G35" s="77">
        <v>73.254000000000005</v>
      </c>
      <c r="H35" s="77">
        <v>62.57</v>
      </c>
      <c r="I35" s="78">
        <v>59.085999999999999</v>
      </c>
      <c r="J35" s="60">
        <f t="shared" si="27"/>
        <v>369.65800000000002</v>
      </c>
      <c r="K35" s="61">
        <f t="shared" si="24"/>
        <v>61.609666666666669</v>
      </c>
      <c r="L35" s="76">
        <v>45.683999999999997</v>
      </c>
      <c r="M35" s="76">
        <v>47.338000000000001</v>
      </c>
      <c r="N35" s="76">
        <v>56.29</v>
      </c>
      <c r="O35" s="76">
        <v>43.188000000000002</v>
      </c>
      <c r="P35" s="76">
        <v>67</v>
      </c>
      <c r="Q35" s="87">
        <f>45+C36</f>
        <v>45</v>
      </c>
      <c r="R35" s="85">
        <f t="shared" si="28"/>
        <v>304.5</v>
      </c>
      <c r="S35" s="86">
        <f t="shared" si="26"/>
        <v>674.15800000000002</v>
      </c>
      <c r="T35" s="110"/>
      <c r="U35" s="22"/>
      <c r="V35" s="144"/>
    </row>
    <row r="36" spans="1:26" ht="14.4" hidden="1">
      <c r="A36" s="11">
        <v>2272</v>
      </c>
      <c r="B36" s="23" t="s">
        <v>39</v>
      </c>
      <c r="C36" s="76"/>
      <c r="D36" s="77">
        <v>48.606000000000002</v>
      </c>
      <c r="E36" s="77">
        <v>54.142000000000003</v>
      </c>
      <c r="F36" s="77">
        <v>38.531999999999996</v>
      </c>
      <c r="G36" s="77">
        <v>44.942</v>
      </c>
      <c r="H36" s="77">
        <v>55.103999999999999</v>
      </c>
      <c r="I36" s="78">
        <v>44.526000000000003</v>
      </c>
      <c r="J36" s="60">
        <f t="shared" si="27"/>
        <v>285.85200000000003</v>
      </c>
      <c r="K36" s="61">
        <f t="shared" si="24"/>
        <v>47.642000000000003</v>
      </c>
      <c r="L36" s="76">
        <v>43.926000000000002</v>
      </c>
      <c r="M36" s="76">
        <v>44.103999999999999</v>
      </c>
      <c r="N36" s="76">
        <v>36.665999999999997</v>
      </c>
      <c r="O36" s="76">
        <v>41.58</v>
      </c>
      <c r="P36" s="76">
        <v>41.276000000000003</v>
      </c>
      <c r="Q36" s="87">
        <f>40.684+C37</f>
        <v>40.683999999999997</v>
      </c>
      <c r="R36" s="85">
        <f t="shared" si="28"/>
        <v>248.23600000000002</v>
      </c>
      <c r="S36" s="86">
        <f t="shared" si="26"/>
        <v>534.08800000000008</v>
      </c>
      <c r="T36" s="110"/>
      <c r="U36" s="22"/>
      <c r="V36" s="144"/>
    </row>
    <row r="37" spans="1:26" ht="14.4">
      <c r="A37" s="11">
        <v>2272</v>
      </c>
      <c r="B37" s="23" t="s">
        <v>42</v>
      </c>
      <c r="C37" s="76"/>
      <c r="D37" s="77">
        <v>48</v>
      </c>
      <c r="E37" s="77">
        <v>41.991999999999997</v>
      </c>
      <c r="F37" s="77">
        <v>40.468000000000004</v>
      </c>
      <c r="G37" s="77">
        <v>36.027999999999999</v>
      </c>
      <c r="H37" s="77">
        <v>43.712000000000003</v>
      </c>
      <c r="I37" s="78">
        <v>36.731999999999999</v>
      </c>
      <c r="J37" s="60">
        <f t="shared" si="27"/>
        <v>246.93199999999999</v>
      </c>
      <c r="K37" s="61">
        <f t="shared" si="24"/>
        <v>41.155333333333331</v>
      </c>
      <c r="L37" s="76">
        <v>36.802</v>
      </c>
      <c r="M37" s="76">
        <v>32.643999999999998</v>
      </c>
      <c r="N37" s="76">
        <v>55.4</v>
      </c>
      <c r="O37" s="76">
        <v>50.372</v>
      </c>
      <c r="P37" s="76">
        <v>57.463999999999999</v>
      </c>
      <c r="Q37" s="87">
        <f>10.012+C38</f>
        <v>10.012</v>
      </c>
      <c r="R37" s="85">
        <f t="shared" si="28"/>
        <v>242.69400000000002</v>
      </c>
      <c r="S37" s="86">
        <f t="shared" si="26"/>
        <v>489.62599999999998</v>
      </c>
      <c r="T37" s="26"/>
      <c r="U37" s="22"/>
      <c r="V37" s="144"/>
    </row>
    <row r="38" spans="1:26" ht="14.4">
      <c r="A38" s="11"/>
      <c r="B38" s="23" t="s">
        <v>45</v>
      </c>
      <c r="C38" s="76"/>
      <c r="D38" s="77">
        <v>44.868000000000002</v>
      </c>
      <c r="E38" s="77">
        <v>38.281999999999996</v>
      </c>
      <c r="F38" s="77">
        <v>50.832000000000001</v>
      </c>
      <c r="G38" s="77">
        <v>69.725999999999999</v>
      </c>
      <c r="H38" s="77">
        <v>63.381999999999998</v>
      </c>
      <c r="I38" s="78">
        <v>38.253999999999998</v>
      </c>
      <c r="J38" s="60">
        <f t="shared" si="27"/>
        <v>305.34399999999999</v>
      </c>
      <c r="K38" s="61">
        <f t="shared" si="24"/>
        <v>50.890666666666668</v>
      </c>
      <c r="L38" s="76">
        <v>33.814</v>
      </c>
      <c r="M38" s="76">
        <v>36.265999999999998</v>
      </c>
      <c r="N38" s="76">
        <v>30.222000000000001</v>
      </c>
      <c r="O38" s="76">
        <v>38.549999999999997</v>
      </c>
      <c r="P38" s="76">
        <v>11.01</v>
      </c>
      <c r="Q38" s="87">
        <f>8.454+C39</f>
        <v>8.4540000000000006</v>
      </c>
      <c r="R38" s="85">
        <f t="shared" si="28"/>
        <v>158.31599999999997</v>
      </c>
      <c r="S38" s="86">
        <f t="shared" si="26"/>
        <v>463.65999999999997</v>
      </c>
      <c r="T38" s="26"/>
      <c r="U38" s="22"/>
      <c r="V38" s="144"/>
    </row>
    <row r="39" spans="1:26">
      <c r="A39" s="10"/>
      <c r="B39" s="23" t="s">
        <v>46</v>
      </c>
      <c r="C39" s="77">
        <f>C40+C41</f>
        <v>0</v>
      </c>
      <c r="D39" s="77">
        <f>D40+D41</f>
        <v>40.103439999999999</v>
      </c>
      <c r="E39" s="77">
        <f t="shared" ref="E39:I39" si="29">E40+E41</f>
        <v>43.838000000000001</v>
      </c>
      <c r="F39" s="77">
        <f t="shared" si="29"/>
        <v>46.644799999999996</v>
      </c>
      <c r="G39" s="77">
        <f t="shared" si="29"/>
        <v>46.348599999999998</v>
      </c>
      <c r="H39" s="77">
        <f t="shared" si="29"/>
        <v>46.0886</v>
      </c>
      <c r="I39" s="77">
        <f t="shared" si="29"/>
        <v>30.001000000000001</v>
      </c>
      <c r="J39" s="60">
        <f t="shared" si="27"/>
        <v>253.02444</v>
      </c>
      <c r="K39" s="61">
        <f t="shared" si="24"/>
        <v>42.170740000000002</v>
      </c>
      <c r="L39" s="76">
        <f>L40+L41</f>
        <v>28.1478</v>
      </c>
      <c r="M39" s="76">
        <f t="shared" ref="M39:Q39" si="30">M40+M41</f>
        <v>31.03</v>
      </c>
      <c r="N39" s="76">
        <f t="shared" si="30"/>
        <v>39.582000000000001</v>
      </c>
      <c r="O39" s="76">
        <f t="shared" si="30"/>
        <v>44.695999999999998</v>
      </c>
      <c r="P39" s="76">
        <f t="shared" si="30"/>
        <v>43.244</v>
      </c>
      <c r="Q39" s="76">
        <f t="shared" si="30"/>
        <v>43.228000000000002</v>
      </c>
      <c r="R39" s="60">
        <f t="shared" si="28"/>
        <v>229.92780000000002</v>
      </c>
      <c r="S39" s="61">
        <f>J39+R39</f>
        <v>482.95224000000002</v>
      </c>
      <c r="T39" s="136">
        <f>T40+T41</f>
        <v>533.52800000000002</v>
      </c>
      <c r="U39" s="129">
        <f>T39-S39</f>
        <v>50.575760000000002</v>
      </c>
      <c r="V39" s="144"/>
    </row>
    <row r="40" spans="1:26">
      <c r="A40" s="10"/>
      <c r="B40" s="59" t="s">
        <v>26</v>
      </c>
      <c r="C40" s="76"/>
      <c r="D40" s="77">
        <v>20.05172</v>
      </c>
      <c r="E40" s="77">
        <v>21.919</v>
      </c>
      <c r="F40" s="77">
        <v>23.322399999999998</v>
      </c>
      <c r="G40" s="77">
        <v>23.174299999999999</v>
      </c>
      <c r="H40" s="77">
        <v>23.0443</v>
      </c>
      <c r="I40" s="77">
        <v>15.000500000000001</v>
      </c>
      <c r="J40" s="60">
        <f t="shared" si="27"/>
        <v>126.51222</v>
      </c>
      <c r="K40" s="61">
        <f t="shared" si="24"/>
        <v>21.085370000000001</v>
      </c>
      <c r="L40" s="77">
        <v>14.0739</v>
      </c>
      <c r="M40" s="77">
        <v>15.515000000000001</v>
      </c>
      <c r="N40" s="77">
        <v>19.791</v>
      </c>
      <c r="O40" s="77">
        <v>22.347999999999999</v>
      </c>
      <c r="P40" s="77">
        <v>21.622</v>
      </c>
      <c r="Q40" s="77">
        <v>21.614000000000001</v>
      </c>
      <c r="R40" s="60">
        <f t="shared" si="28"/>
        <v>114.96390000000001</v>
      </c>
      <c r="S40" s="61">
        <f>J40+R40</f>
        <v>241.47612000000001</v>
      </c>
      <c r="T40" s="136">
        <v>266.76400000000001</v>
      </c>
      <c r="U40" s="28">
        <f>T40-S40</f>
        <v>25.287880000000001</v>
      </c>
      <c r="V40" s="144"/>
    </row>
    <row r="41" spans="1:26">
      <c r="A41" s="10"/>
      <c r="B41" s="88" t="s">
        <v>27</v>
      </c>
      <c r="C41" s="77">
        <f>C40</f>
        <v>0</v>
      </c>
      <c r="D41" s="77">
        <f>D40</f>
        <v>20.05172</v>
      </c>
      <c r="E41" s="77">
        <f t="shared" ref="E41:I41" si="31">E40</f>
        <v>21.919</v>
      </c>
      <c r="F41" s="77">
        <f t="shared" si="31"/>
        <v>23.322399999999998</v>
      </c>
      <c r="G41" s="77">
        <f t="shared" si="31"/>
        <v>23.174299999999999</v>
      </c>
      <c r="H41" s="77">
        <f t="shared" si="31"/>
        <v>23.0443</v>
      </c>
      <c r="I41" s="78">
        <f t="shared" si="31"/>
        <v>15.000500000000001</v>
      </c>
      <c r="J41" s="60">
        <f t="shared" si="27"/>
        <v>126.51222</v>
      </c>
      <c r="K41" s="61">
        <f t="shared" si="24"/>
        <v>21.085370000000001</v>
      </c>
      <c r="L41" s="76">
        <f>L40</f>
        <v>14.0739</v>
      </c>
      <c r="M41" s="76">
        <f t="shared" ref="M41:Q41" si="32">M40</f>
        <v>15.515000000000001</v>
      </c>
      <c r="N41" s="76">
        <f t="shared" si="32"/>
        <v>19.791</v>
      </c>
      <c r="O41" s="76">
        <f t="shared" si="32"/>
        <v>22.347999999999999</v>
      </c>
      <c r="P41" s="76">
        <f t="shared" si="32"/>
        <v>21.622</v>
      </c>
      <c r="Q41" s="76">
        <f t="shared" si="32"/>
        <v>21.614000000000001</v>
      </c>
      <c r="R41" s="60">
        <f t="shared" si="28"/>
        <v>114.96390000000001</v>
      </c>
      <c r="S41" s="61">
        <f>J41+R41</f>
        <v>241.47612000000001</v>
      </c>
      <c r="T41" s="136">
        <f>T40</f>
        <v>266.76400000000001</v>
      </c>
      <c r="U41" s="28">
        <f>T41-S41</f>
        <v>25.287880000000001</v>
      </c>
      <c r="V41" s="144"/>
    </row>
    <row r="42" spans="1:26" s="234" customFormat="1" ht="14.4">
      <c r="A42" s="227"/>
      <c r="B42" s="227" t="s">
        <v>22</v>
      </c>
      <c r="C42" s="236" t="e">
        <f t="shared" ref="C42:I42" si="33">C43/C39*1000</f>
        <v>#DIV/0!</v>
      </c>
      <c r="D42" s="236">
        <f t="shared" si="33"/>
        <v>25.681587414944957</v>
      </c>
      <c r="E42" s="236">
        <f t="shared" si="33"/>
        <v>26.141703544869745</v>
      </c>
      <c r="F42" s="236">
        <f t="shared" si="33"/>
        <v>26.138390560148185</v>
      </c>
      <c r="G42" s="236">
        <f t="shared" si="33"/>
        <v>26.159797706942605</v>
      </c>
      <c r="H42" s="236">
        <f t="shared" si="33"/>
        <v>26.159831281488266</v>
      </c>
      <c r="I42" s="236">
        <f t="shared" si="33"/>
        <v>25.706143128562381</v>
      </c>
      <c r="J42" s="237">
        <f>J43/J39*1000</f>
        <v>26.023138318179857</v>
      </c>
      <c r="K42" s="238">
        <f>K43/K39*1000</f>
        <v>26.023138318179853</v>
      </c>
      <c r="L42" s="238">
        <f>L43/L39*1000</f>
        <v>26.183218581914041</v>
      </c>
      <c r="M42" s="238">
        <f>M43/M39*1000</f>
        <v>26.168224299065422</v>
      </c>
      <c r="N42" s="236">
        <v>26.16</v>
      </c>
      <c r="O42" s="236">
        <v>26.16</v>
      </c>
      <c r="P42" s="236">
        <v>26.16</v>
      </c>
      <c r="Q42" s="236">
        <v>26.16</v>
      </c>
      <c r="R42" s="237">
        <f>R43/R39*1000</f>
        <v>26.163952336342099</v>
      </c>
      <c r="S42" s="238">
        <f>S43/S39*1000</f>
        <v>26.088107594241617</v>
      </c>
      <c r="T42" s="237">
        <f>T43/T39*1000</f>
        <v>23.657614970535754</v>
      </c>
      <c r="U42" s="238">
        <f>U43/U39*1000</f>
        <v>0.44863389101812778</v>
      </c>
      <c r="V42" s="144"/>
      <c r="W42" s="233"/>
      <c r="Z42" s="235"/>
    </row>
    <row r="43" spans="1:26">
      <c r="A43" s="102"/>
      <c r="B43" s="102" t="s">
        <v>21</v>
      </c>
      <c r="C43" s="134"/>
      <c r="D43" s="25">
        <f>(645.6+385.32)/1000-0.001</f>
        <v>1.0299200000000002</v>
      </c>
      <c r="E43" s="25">
        <v>1.1459999999999999</v>
      </c>
      <c r="F43" s="25">
        <f>0.76516+0.45506-0.001</f>
        <v>1.21922</v>
      </c>
      <c r="G43" s="25">
        <v>1.2124699999999999</v>
      </c>
      <c r="H43" s="25">
        <v>1.20567</v>
      </c>
      <c r="I43" s="25">
        <v>0.77120999999999995</v>
      </c>
      <c r="J43" s="96">
        <f t="shared" ref="J43:J45" si="34">SUM(D43:I43)</f>
        <v>6.5844900000000006</v>
      </c>
      <c r="K43" s="97">
        <f t="shared" ref="K43:K45" si="35">J43/6</f>
        <v>1.097415</v>
      </c>
      <c r="L43" s="25">
        <v>0.73699999999999999</v>
      </c>
      <c r="M43" s="25">
        <f>0.812</f>
        <v>0.81200000000000006</v>
      </c>
      <c r="N43" s="25">
        <f t="shared" ref="N43" si="36">N39*N42/1000</f>
        <v>1.03546512</v>
      </c>
      <c r="O43" s="25">
        <f t="shared" ref="O43" si="37">O39*O42/1000</f>
        <v>1.1692473599999997</v>
      </c>
      <c r="P43" s="25">
        <f t="shared" ref="P43" si="38">P39*P42/1000</f>
        <v>1.1312630400000001</v>
      </c>
      <c r="Q43" s="25">
        <f t="shared" ref="Q43" si="39">Q39*Q42/1000</f>
        <v>1.1308444799999999</v>
      </c>
      <c r="R43" s="96">
        <f t="shared" ref="R43:R45" si="40">SUM(L43:Q43)</f>
        <v>6.0158199999999997</v>
      </c>
      <c r="S43" s="97">
        <f>J43+R43-0.001</f>
        <v>12.599310000000001</v>
      </c>
      <c r="T43" s="165">
        <v>12.622</v>
      </c>
      <c r="U43" s="164">
        <f>T43-S43</f>
        <v>2.2689999999998989E-2</v>
      </c>
      <c r="V43" s="144"/>
    </row>
    <row r="44" spans="1:26" ht="15.65" thickBot="1">
      <c r="A44" s="23"/>
      <c r="B44" s="16" t="s">
        <v>40</v>
      </c>
      <c r="C44" s="159"/>
      <c r="D44" s="109">
        <v>3.5000000000000003E-2</v>
      </c>
      <c r="E44" s="109">
        <v>4.8000000000000001E-2</v>
      </c>
      <c r="F44" s="109">
        <v>4.8000000000000001E-2</v>
      </c>
      <c r="G44" s="109">
        <v>4.8000000000000001E-2</v>
      </c>
      <c r="H44" s="109">
        <v>4.8000000000000001E-2</v>
      </c>
      <c r="I44" s="109">
        <v>4.9000000000000002E-2</v>
      </c>
      <c r="J44" s="157">
        <f t="shared" si="34"/>
        <v>0.27599999999999997</v>
      </c>
      <c r="K44" s="158">
        <f t="shared" si="35"/>
        <v>4.5999999999999992E-2</v>
      </c>
      <c r="L44" s="109">
        <v>4.4760000000000001E-2</v>
      </c>
      <c r="M44" s="109">
        <v>4.4999999999999998E-2</v>
      </c>
      <c r="N44" s="109">
        <v>6.4000000000000001E-2</v>
      </c>
      <c r="O44" s="109">
        <v>6.4000000000000001E-2</v>
      </c>
      <c r="P44" s="109">
        <v>6.4000000000000001E-2</v>
      </c>
      <c r="Q44" s="109">
        <v>6.4000000000000001E-2</v>
      </c>
      <c r="R44" s="157">
        <f>SUM(L44:Q44)</f>
        <v>0.34576000000000001</v>
      </c>
      <c r="S44" s="158">
        <f>J44+R44</f>
        <v>0.62175999999999998</v>
      </c>
      <c r="T44" s="162">
        <v>0.76200000000000001</v>
      </c>
      <c r="U44" s="32">
        <f>T44-S44</f>
        <v>0.14024000000000003</v>
      </c>
      <c r="V44" s="144"/>
    </row>
    <row r="45" spans="1:26">
      <c r="A45" s="106"/>
      <c r="B45" s="19" t="s">
        <v>41</v>
      </c>
      <c r="C45" s="108">
        <f>C43+C44</f>
        <v>0</v>
      </c>
      <c r="D45" s="56">
        <f>D43+D44</f>
        <v>1.0649200000000001</v>
      </c>
      <c r="E45" s="20">
        <f>E43+E44</f>
        <v>1.194</v>
      </c>
      <c r="F45" s="20">
        <f t="shared" ref="F45:I45" si="41">F43+F44</f>
        <v>1.26722</v>
      </c>
      <c r="G45" s="20">
        <f t="shared" si="41"/>
        <v>1.26047</v>
      </c>
      <c r="H45" s="107">
        <f>H43+H44</f>
        <v>1.2536700000000001</v>
      </c>
      <c r="I45" s="22">
        <f t="shared" si="41"/>
        <v>0.82020999999999999</v>
      </c>
      <c r="J45" s="118">
        <f t="shared" si="34"/>
        <v>6.8604899999999995</v>
      </c>
      <c r="K45" s="119">
        <f t="shared" si="35"/>
        <v>1.1434149999999998</v>
      </c>
      <c r="L45" s="56">
        <f>L43+L44</f>
        <v>0.78176000000000001</v>
      </c>
      <c r="M45" s="21">
        <f t="shared" ref="M45:Q45" si="42">M43+M44</f>
        <v>0.8570000000000001</v>
      </c>
      <c r="N45" s="21">
        <f t="shared" si="42"/>
        <v>1.0994651200000001</v>
      </c>
      <c r="O45" s="21">
        <f t="shared" si="42"/>
        <v>1.2332473599999998</v>
      </c>
      <c r="P45" s="21">
        <f t="shared" si="42"/>
        <v>1.1952630400000002</v>
      </c>
      <c r="Q45" s="22">
        <f t="shared" si="42"/>
        <v>1.19484448</v>
      </c>
      <c r="R45" s="118">
        <f t="shared" si="40"/>
        <v>6.36158</v>
      </c>
      <c r="S45" s="119">
        <f>J45+R45</f>
        <v>13.222069999999999</v>
      </c>
      <c r="T45" s="161">
        <f>T43+T44</f>
        <v>13.384</v>
      </c>
      <c r="U45" s="34">
        <f t="shared" ref="U45:U46" si="43">T45-S45</f>
        <v>0.16193000000000168</v>
      </c>
      <c r="V45" s="208"/>
    </row>
    <row r="46" spans="1:26" ht="15.65" thickBot="1">
      <c r="A46" s="176"/>
      <c r="B46" s="33" t="s">
        <v>43</v>
      </c>
      <c r="C46" s="99"/>
      <c r="D46" s="29">
        <v>0</v>
      </c>
      <c r="E46" s="223">
        <v>0.64910000000000001</v>
      </c>
      <c r="F46" s="223">
        <v>1.0824100000000001</v>
      </c>
      <c r="G46" s="223">
        <v>1.1622399999999999</v>
      </c>
      <c r="H46" s="223">
        <v>1.714</v>
      </c>
      <c r="I46" s="223">
        <v>1.37999</v>
      </c>
      <c r="J46" s="100">
        <f>SUM(D46:I46)</f>
        <v>5.9877399999999996</v>
      </c>
      <c r="K46" s="101">
        <f t="shared" ref="K46:K61" si="44">J46/6</f>
        <v>0.9979566666666666</v>
      </c>
      <c r="L46" s="223">
        <v>0.40500000000000003</v>
      </c>
      <c r="M46" s="223">
        <v>1.206</v>
      </c>
      <c r="N46" s="29">
        <f>M45+0.044</f>
        <v>0.90100000000000013</v>
      </c>
      <c r="O46" s="29">
        <f t="shared" ref="N46:P46" si="45">N45</f>
        <v>1.0994651200000001</v>
      </c>
      <c r="P46" s="29">
        <f t="shared" si="45"/>
        <v>1.2332473599999998</v>
      </c>
      <c r="Q46" s="29">
        <f>P45+Q45</f>
        <v>2.3901075199999999</v>
      </c>
      <c r="R46" s="100">
        <f>SUM(L46:Q46)</f>
        <v>7.23482</v>
      </c>
      <c r="S46" s="101">
        <f t="shared" ref="S46:S61" si="46">J46+R46</f>
        <v>13.22256</v>
      </c>
      <c r="T46" s="166">
        <f>S47</f>
        <v>13.384</v>
      </c>
      <c r="U46" s="163">
        <f t="shared" si="43"/>
        <v>0.16144000000000069</v>
      </c>
      <c r="V46" s="144">
        <f>C45+S45-S46</f>
        <v>-4.9000000000098964E-4</v>
      </c>
      <c r="W46" s="143"/>
      <c r="Z46" s="115"/>
    </row>
    <row r="47" spans="1:26">
      <c r="A47" s="35"/>
      <c r="B47" s="35" t="s">
        <v>28</v>
      </c>
      <c r="C47" s="36"/>
      <c r="D47" s="37">
        <f>0.902-0.902</f>
        <v>0</v>
      </c>
      <c r="E47" s="37">
        <v>1.18</v>
      </c>
      <c r="F47" s="37">
        <v>0.627</v>
      </c>
      <c r="G47" s="37">
        <v>1.7190000000000001</v>
      </c>
      <c r="H47" s="37">
        <v>1.2549999999999999</v>
      </c>
      <c r="I47" s="37">
        <v>1.2070000000000001</v>
      </c>
      <c r="J47" s="38">
        <f>SUM(D47:I47)</f>
        <v>5.9879999999999995</v>
      </c>
      <c r="K47" s="39">
        <f t="shared" si="44"/>
        <v>0.99799999999999989</v>
      </c>
      <c r="L47" s="67">
        <v>0.98399999999999999</v>
      </c>
      <c r="M47" s="67">
        <v>0.63400000000000001</v>
      </c>
      <c r="N47" s="67">
        <v>1.425</v>
      </c>
      <c r="O47" s="67">
        <v>1.0009999999999999</v>
      </c>
      <c r="P47" s="67">
        <v>1.1220000000000001</v>
      </c>
      <c r="Q47" s="69">
        <v>2.23</v>
      </c>
      <c r="R47" s="38">
        <f>SUM(L47:Q47)</f>
        <v>7.3960000000000008</v>
      </c>
      <c r="S47" s="39">
        <f t="shared" si="46"/>
        <v>13.384</v>
      </c>
      <c r="T47" s="197"/>
      <c r="U47" s="40"/>
      <c r="V47" s="144"/>
    </row>
    <row r="48" spans="1:26">
      <c r="A48" s="41"/>
      <c r="B48" s="41" t="s">
        <v>2</v>
      </c>
      <c r="C48" s="42"/>
      <c r="D48" s="43">
        <f t="shared" ref="D48:I48" si="47">D47-D46</f>
        <v>0</v>
      </c>
      <c r="E48" s="43">
        <f>E47-E46</f>
        <v>0.53089999999999993</v>
      </c>
      <c r="F48" s="43">
        <f>F47-F46</f>
        <v>-0.45541000000000009</v>
      </c>
      <c r="G48" s="43">
        <f t="shared" si="47"/>
        <v>0.55676000000000014</v>
      </c>
      <c r="H48" s="43">
        <f t="shared" si="47"/>
        <v>-0.45900000000000007</v>
      </c>
      <c r="I48" s="44">
        <f t="shared" si="47"/>
        <v>-0.17298999999999998</v>
      </c>
      <c r="J48" s="53">
        <f>SUM(D48:I48)</f>
        <v>2.5999999999992696E-4</v>
      </c>
      <c r="K48" s="54">
        <f t="shared" si="44"/>
        <v>4.3333333333321157E-5</v>
      </c>
      <c r="L48" s="42">
        <f t="shared" ref="L48:Q48" si="48">L47-L46</f>
        <v>0.57899999999999996</v>
      </c>
      <c r="M48" s="42">
        <f t="shared" si="48"/>
        <v>-0.57199999999999995</v>
      </c>
      <c r="N48" s="42">
        <f t="shared" si="48"/>
        <v>0.52399999999999991</v>
      </c>
      <c r="O48" s="42">
        <f t="shared" si="48"/>
        <v>-9.8465120000000184E-2</v>
      </c>
      <c r="P48" s="42">
        <f t="shared" si="48"/>
        <v>-0.11124735999999968</v>
      </c>
      <c r="Q48" s="73">
        <f t="shared" si="48"/>
        <v>-0.16010751999999995</v>
      </c>
      <c r="R48" s="53">
        <f>SUM(L48:Q48)</f>
        <v>0.1611800000000001</v>
      </c>
      <c r="S48" s="54">
        <f t="shared" si="46"/>
        <v>0.16144000000000003</v>
      </c>
      <c r="T48" s="194"/>
      <c r="U48" s="45"/>
      <c r="V48" s="144"/>
    </row>
    <row r="49" spans="1:26" ht="15.65" thickBot="1">
      <c r="A49" s="46"/>
      <c r="B49" s="46" t="s">
        <v>29</v>
      </c>
      <c r="C49" s="47"/>
      <c r="D49" s="48">
        <f>D48</f>
        <v>0</v>
      </c>
      <c r="E49" s="48">
        <f>D49+E48</f>
        <v>0.53089999999999993</v>
      </c>
      <c r="F49" s="48">
        <f>E49+F48</f>
        <v>7.5489999999999835E-2</v>
      </c>
      <c r="G49" s="48">
        <f>F49+G48</f>
        <v>0.63224999999999998</v>
      </c>
      <c r="H49" s="48">
        <f>G49+H48</f>
        <v>0.1732499999999999</v>
      </c>
      <c r="I49" s="49">
        <f>H49+I48</f>
        <v>2.5999999999992696E-4</v>
      </c>
      <c r="J49" s="50">
        <f>(D47+E47+F47+G47+H47+I47)-(D46+E46+F46+G46+H46+I46)</f>
        <v>2.5999999999992696E-4</v>
      </c>
      <c r="K49" s="51">
        <f t="shared" si="44"/>
        <v>4.3333333333321157E-5</v>
      </c>
      <c r="L49" s="47">
        <f>I49+L48</f>
        <v>0.57925999999999989</v>
      </c>
      <c r="M49" s="48">
        <f>L49+M48</f>
        <v>7.2599999999999332E-3</v>
      </c>
      <c r="N49" s="48">
        <f>M49+N48</f>
        <v>0.53125999999999984</v>
      </c>
      <c r="O49" s="48">
        <f>N49+O48</f>
        <v>0.43279487999999966</v>
      </c>
      <c r="P49" s="48">
        <f>O49+P48</f>
        <v>0.32154751999999998</v>
      </c>
      <c r="Q49" s="49">
        <f>P49+Q48</f>
        <v>0.16144000000000003</v>
      </c>
      <c r="R49" s="50">
        <f>(L47+M47+N47+O47+P47+Q47)-(L46+M46+N46+O46+P46+Q46)</f>
        <v>0.16118000000000077</v>
      </c>
      <c r="S49" s="51">
        <f t="shared" si="46"/>
        <v>0.16144000000000069</v>
      </c>
      <c r="T49" s="195"/>
      <c r="U49" s="52"/>
      <c r="V49" s="144"/>
    </row>
    <row r="50" spans="1:26" ht="14.4" hidden="1">
      <c r="A50" s="9" t="s">
        <v>25</v>
      </c>
      <c r="B50" s="94" t="s">
        <v>30</v>
      </c>
      <c r="C50" s="89"/>
      <c r="D50" s="77">
        <v>5307.7759999999998</v>
      </c>
      <c r="E50" s="77">
        <v>4599.1540000000005</v>
      </c>
      <c r="F50" s="77">
        <v>4648.07</v>
      </c>
      <c r="G50" s="77">
        <v>4889</v>
      </c>
      <c r="H50" s="77">
        <v>3075</v>
      </c>
      <c r="I50" s="78">
        <v>3285</v>
      </c>
      <c r="J50" s="90">
        <f t="shared" ref="J50:J61" si="49">SUM(D50:I50)</f>
        <v>25804</v>
      </c>
      <c r="K50" s="91">
        <f t="shared" si="44"/>
        <v>4300.666666666667</v>
      </c>
      <c r="L50" s="76">
        <v>3305</v>
      </c>
      <c r="M50" s="77">
        <v>3838</v>
      </c>
      <c r="N50" s="77">
        <v>3633</v>
      </c>
      <c r="O50" s="77">
        <v>4893</v>
      </c>
      <c r="P50" s="77">
        <v>5435</v>
      </c>
      <c r="Q50" s="78">
        <f>5993.652-4285.884</f>
        <v>1707.768</v>
      </c>
      <c r="R50" s="90">
        <f t="shared" ref="R50:R61" si="50">SUM(L50:Q50)</f>
        <v>22811.768</v>
      </c>
      <c r="S50" s="91">
        <f t="shared" si="46"/>
        <v>48615.767999999996</v>
      </c>
      <c r="T50" s="151"/>
      <c r="U50" s="201"/>
      <c r="V50" s="144"/>
    </row>
    <row r="51" spans="1:26" ht="14.4" hidden="1">
      <c r="A51" s="11">
        <v>2273</v>
      </c>
      <c r="B51" s="88" t="s">
        <v>31</v>
      </c>
      <c r="C51" s="58"/>
      <c r="D51" s="130">
        <v>2744</v>
      </c>
      <c r="E51" s="130">
        <v>6722</v>
      </c>
      <c r="F51" s="130">
        <v>5029</v>
      </c>
      <c r="G51" s="130">
        <v>4206</v>
      </c>
      <c r="H51" s="130">
        <v>4952</v>
      </c>
      <c r="I51" s="131">
        <v>3349</v>
      </c>
      <c r="J51" s="60">
        <f t="shared" si="49"/>
        <v>27002</v>
      </c>
      <c r="K51" s="61">
        <f t="shared" si="44"/>
        <v>4500.333333333333</v>
      </c>
      <c r="L51" s="6">
        <v>3061</v>
      </c>
      <c r="M51" s="2">
        <v>3920</v>
      </c>
      <c r="N51" s="2">
        <v>3576</v>
      </c>
      <c r="O51" s="2">
        <v>4391</v>
      </c>
      <c r="P51" s="2">
        <v>5532.7240000000002</v>
      </c>
      <c r="Q51" s="5">
        <f>379.734+3577.16</f>
        <v>3956.8939999999998</v>
      </c>
      <c r="R51" s="60">
        <f t="shared" si="50"/>
        <v>24437.618000000002</v>
      </c>
      <c r="S51" s="61">
        <f t="shared" si="46"/>
        <v>51439.618000000002</v>
      </c>
      <c r="T51" s="155"/>
      <c r="U51" s="147"/>
      <c r="V51" s="144"/>
    </row>
    <row r="52" spans="1:26" ht="14.4" hidden="1">
      <c r="A52" s="11">
        <v>2273</v>
      </c>
      <c r="B52" s="132" t="s">
        <v>32</v>
      </c>
      <c r="C52" s="25">
        <v>3577.16</v>
      </c>
      <c r="D52" s="1">
        <v>6898.3050000000003</v>
      </c>
      <c r="E52" s="1">
        <v>7102.7849999999999</v>
      </c>
      <c r="F52" s="2">
        <v>3521.2449999999999</v>
      </c>
      <c r="G52" s="2">
        <v>3883.0169999999998</v>
      </c>
      <c r="H52" s="2">
        <v>5272.1379999999999</v>
      </c>
      <c r="I52" s="5">
        <v>3840.875</v>
      </c>
      <c r="J52" s="83">
        <f t="shared" si="49"/>
        <v>30518.364999999998</v>
      </c>
      <c r="K52" s="84">
        <f t="shared" si="44"/>
        <v>5086.394166666666</v>
      </c>
      <c r="L52" s="133">
        <v>2475.6480000000001</v>
      </c>
      <c r="M52" s="130">
        <v>5061.6710000000003</v>
      </c>
      <c r="N52" s="130">
        <v>4546.8940000000002</v>
      </c>
      <c r="O52" s="130">
        <v>3903.0230000000001</v>
      </c>
      <c r="P52" s="130">
        <v>5255.7920000000004</v>
      </c>
      <c r="Q52" s="5">
        <f>7533.15+C53</f>
        <v>15328.3</v>
      </c>
      <c r="R52" s="60">
        <f t="shared" si="50"/>
        <v>36571.328000000001</v>
      </c>
      <c r="S52" s="61">
        <f t="shared" si="46"/>
        <v>67089.692999999999</v>
      </c>
      <c r="T52" s="152"/>
      <c r="U52" s="185"/>
      <c r="V52" s="144"/>
    </row>
    <row r="53" spans="1:26" ht="14.4" hidden="1">
      <c r="A53" s="11">
        <v>2273</v>
      </c>
      <c r="B53" s="132" t="s">
        <v>33</v>
      </c>
      <c r="C53" s="25">
        <v>7795.15</v>
      </c>
      <c r="D53" s="1">
        <v>4163.7550000000001</v>
      </c>
      <c r="E53" s="1">
        <v>5929.3440000000001</v>
      </c>
      <c r="F53" s="2">
        <v>3827.5129999999999</v>
      </c>
      <c r="G53" s="2">
        <v>4221.0770000000002</v>
      </c>
      <c r="H53" s="2">
        <v>4527.9669999999996</v>
      </c>
      <c r="I53" s="5">
        <v>3938.788</v>
      </c>
      <c r="J53" s="83">
        <f t="shared" si="49"/>
        <v>26608.444000000003</v>
      </c>
      <c r="K53" s="84">
        <f t="shared" si="44"/>
        <v>4434.7406666666675</v>
      </c>
      <c r="L53" s="133">
        <v>2594.6559999999999</v>
      </c>
      <c r="M53" s="130">
        <v>4050.473</v>
      </c>
      <c r="N53" s="130">
        <v>3382.0819999999999</v>
      </c>
      <c r="O53" s="130">
        <v>4296.7849999999999</v>
      </c>
      <c r="P53" s="130">
        <v>4434.1260000000002</v>
      </c>
      <c r="Q53" s="5">
        <f>3412.799+C54</f>
        <v>3412.799</v>
      </c>
      <c r="R53" s="60">
        <f t="shared" si="50"/>
        <v>22170.920999999998</v>
      </c>
      <c r="S53" s="61">
        <f t="shared" si="46"/>
        <v>48779.365000000005</v>
      </c>
      <c r="T53" s="152"/>
      <c r="U53" s="147"/>
      <c r="V53" s="144"/>
    </row>
    <row r="54" spans="1:26" ht="14.4" hidden="1">
      <c r="A54" s="11">
        <v>2273</v>
      </c>
      <c r="B54" s="132" t="s">
        <v>34</v>
      </c>
      <c r="C54" s="25"/>
      <c r="D54" s="1">
        <v>4643.1000000000004</v>
      </c>
      <c r="E54" s="1">
        <v>4314.5</v>
      </c>
      <c r="F54" s="2">
        <v>4303.3</v>
      </c>
      <c r="G54" s="2">
        <v>3600.5</v>
      </c>
      <c r="H54" s="2">
        <v>3390</v>
      </c>
      <c r="I54" s="5">
        <v>4063.5</v>
      </c>
      <c r="J54" s="83">
        <f t="shared" si="49"/>
        <v>24314.9</v>
      </c>
      <c r="K54" s="84">
        <f t="shared" si="44"/>
        <v>4052.4833333333336</v>
      </c>
      <c r="L54" s="6">
        <v>3329.4</v>
      </c>
      <c r="M54" s="2">
        <v>3630</v>
      </c>
      <c r="N54" s="2">
        <v>3584.7</v>
      </c>
      <c r="O54" s="2">
        <v>3779.5</v>
      </c>
      <c r="P54" s="2">
        <v>4228</v>
      </c>
      <c r="Q54" s="5">
        <f>3213.6+C55</f>
        <v>4295.99</v>
      </c>
      <c r="R54" s="60">
        <f t="shared" si="50"/>
        <v>22847.589999999997</v>
      </c>
      <c r="S54" s="61">
        <f t="shared" si="46"/>
        <v>47162.49</v>
      </c>
      <c r="T54" s="152"/>
      <c r="U54" s="27"/>
      <c r="V54" s="144"/>
    </row>
    <row r="55" spans="1:26" ht="14.4" hidden="1">
      <c r="A55" s="11">
        <v>2273</v>
      </c>
      <c r="B55" s="178" t="s">
        <v>35</v>
      </c>
      <c r="C55" s="25">
        <v>1082.3900000000001</v>
      </c>
      <c r="D55" s="1">
        <v>5840.83</v>
      </c>
      <c r="E55" s="1">
        <v>5036.0200000000004</v>
      </c>
      <c r="F55" s="2">
        <v>4269.2</v>
      </c>
      <c r="G55" s="2">
        <v>4279.3999999999996</v>
      </c>
      <c r="H55" s="2">
        <v>3284.4</v>
      </c>
      <c r="I55" s="5">
        <v>4055.1</v>
      </c>
      <c r="J55" s="83">
        <f t="shared" si="49"/>
        <v>26764.949999999997</v>
      </c>
      <c r="K55" s="84">
        <f t="shared" si="44"/>
        <v>4460.8249999999998</v>
      </c>
      <c r="L55" s="6">
        <v>3114.9</v>
      </c>
      <c r="M55" s="2">
        <v>4047.9</v>
      </c>
      <c r="N55" s="2">
        <v>4732.5</v>
      </c>
      <c r="O55" s="2">
        <v>3531</v>
      </c>
      <c r="P55" s="2">
        <v>4861.5</v>
      </c>
      <c r="Q55" s="5">
        <f>1012.762+C56</f>
        <v>2461.7619999999997</v>
      </c>
      <c r="R55" s="60">
        <f t="shared" si="50"/>
        <v>22749.561999999998</v>
      </c>
      <c r="S55" s="61">
        <f t="shared" si="46"/>
        <v>49514.511999999995</v>
      </c>
      <c r="T55" s="152"/>
      <c r="U55" s="27"/>
      <c r="V55" s="144"/>
    </row>
    <row r="56" spans="1:26" hidden="1" thickBot="1">
      <c r="A56" s="11">
        <v>2273</v>
      </c>
      <c r="B56" s="59" t="s">
        <v>37</v>
      </c>
      <c r="C56" s="24">
        <v>1449</v>
      </c>
      <c r="D56" s="1">
        <v>4351.6000000000004</v>
      </c>
      <c r="E56" s="1">
        <v>3166.83</v>
      </c>
      <c r="F56" s="2">
        <v>2983.89</v>
      </c>
      <c r="G56" s="2">
        <v>2491.25</v>
      </c>
      <c r="H56" s="2">
        <v>2354.52</v>
      </c>
      <c r="I56" s="5">
        <v>3469.66</v>
      </c>
      <c r="J56" s="83">
        <f t="shared" si="49"/>
        <v>18817.75</v>
      </c>
      <c r="K56" s="84">
        <f t="shared" si="44"/>
        <v>3136.2916666666665</v>
      </c>
      <c r="L56" s="6">
        <v>3661.72</v>
      </c>
      <c r="M56" s="2">
        <v>3808.86</v>
      </c>
      <c r="N56" s="2">
        <v>3832.15</v>
      </c>
      <c r="O56" s="2">
        <v>3534.94</v>
      </c>
      <c r="P56" s="2">
        <v>3343.85</v>
      </c>
      <c r="Q56" s="5">
        <f>1294.33+C57</f>
        <v>3660.9</v>
      </c>
      <c r="R56" s="60">
        <f t="shared" si="50"/>
        <v>21842.420000000002</v>
      </c>
      <c r="S56" s="61">
        <f t="shared" si="46"/>
        <v>40660.17</v>
      </c>
      <c r="T56" s="152"/>
      <c r="U56" s="27"/>
      <c r="V56" s="144"/>
    </row>
    <row r="57" spans="1:26" ht="14.4" hidden="1">
      <c r="A57" s="11">
        <v>2273</v>
      </c>
      <c r="B57" s="88" t="s">
        <v>38</v>
      </c>
      <c r="C57" s="24">
        <v>2366.5700000000002</v>
      </c>
      <c r="D57" s="1">
        <v>4785.74</v>
      </c>
      <c r="E57" s="1">
        <v>4506.1400000000003</v>
      </c>
      <c r="F57" s="2">
        <v>3631.27</v>
      </c>
      <c r="G57" s="2">
        <v>4311.1400000000003</v>
      </c>
      <c r="H57" s="2">
        <v>3265.2249999999999</v>
      </c>
      <c r="I57" s="5">
        <v>3119.59</v>
      </c>
      <c r="J57" s="202">
        <f t="shared" si="49"/>
        <v>23619.105</v>
      </c>
      <c r="K57" s="203">
        <f t="shared" si="44"/>
        <v>3936.5174999999999</v>
      </c>
      <c r="L57" s="6">
        <v>3595.8330000000001</v>
      </c>
      <c r="M57" s="2">
        <v>3928.41</v>
      </c>
      <c r="N57" s="2">
        <v>3562.4</v>
      </c>
      <c r="O57" s="2">
        <v>3693.616</v>
      </c>
      <c r="P57" s="2">
        <v>4331.7920000000004</v>
      </c>
      <c r="Q57" s="5">
        <f>3144.474+C58</f>
        <v>3144.4740000000002</v>
      </c>
      <c r="R57" s="60">
        <f t="shared" si="50"/>
        <v>22256.525000000001</v>
      </c>
      <c r="S57" s="61">
        <f t="shared" si="46"/>
        <v>45875.630000000005</v>
      </c>
      <c r="T57" s="152"/>
      <c r="U57" s="27"/>
      <c r="V57" s="144"/>
    </row>
    <row r="58" spans="1:26" ht="14.4" hidden="1">
      <c r="A58" s="11">
        <v>2273</v>
      </c>
      <c r="B58" s="88" t="s">
        <v>39</v>
      </c>
      <c r="C58" s="24"/>
      <c r="D58" s="1">
        <v>5608.38</v>
      </c>
      <c r="E58" s="1">
        <v>5294.0069999999996</v>
      </c>
      <c r="F58" s="2">
        <v>2227.89</v>
      </c>
      <c r="G58" s="2">
        <v>2500</v>
      </c>
      <c r="H58" s="2">
        <v>4235.232</v>
      </c>
      <c r="I58" s="5">
        <v>3325.1019999999999</v>
      </c>
      <c r="J58" s="83">
        <f t="shared" si="49"/>
        <v>23190.610999999997</v>
      </c>
      <c r="K58" s="84">
        <f t="shared" si="44"/>
        <v>3865.1018333333327</v>
      </c>
      <c r="L58" s="6">
        <v>3143.1019999999999</v>
      </c>
      <c r="M58" s="2">
        <v>3631.8040000000001</v>
      </c>
      <c r="N58" s="2">
        <v>2951.0709999999999</v>
      </c>
      <c r="O58" s="2">
        <v>4776.4960000000001</v>
      </c>
      <c r="P58" s="2">
        <v>2693.085</v>
      </c>
      <c r="Q58" s="5">
        <f>1516.138+C59</f>
        <v>1516.1379999999999</v>
      </c>
      <c r="R58" s="60">
        <f t="shared" si="50"/>
        <v>18711.695999999996</v>
      </c>
      <c r="S58" s="61">
        <f t="shared" si="46"/>
        <v>41902.306999999993</v>
      </c>
      <c r="T58" s="152"/>
      <c r="U58" s="27"/>
      <c r="V58" s="144"/>
    </row>
    <row r="59" spans="1:26" ht="14.4">
      <c r="A59" s="11">
        <v>2273</v>
      </c>
      <c r="B59" s="88" t="s">
        <v>42</v>
      </c>
      <c r="C59" s="24"/>
      <c r="D59" s="217">
        <v>3313.8609999999999</v>
      </c>
      <c r="E59" s="217">
        <v>4060</v>
      </c>
      <c r="F59" s="217">
        <v>2952.982</v>
      </c>
      <c r="G59" s="217">
        <v>3918.45</v>
      </c>
      <c r="H59" s="217">
        <v>2907.0949999999998</v>
      </c>
      <c r="I59" s="218">
        <v>2175.13</v>
      </c>
      <c r="J59" s="83">
        <f t="shared" si="49"/>
        <v>19327.518000000004</v>
      </c>
      <c r="K59" s="84">
        <f t="shared" si="44"/>
        <v>3221.2530000000006</v>
      </c>
      <c r="L59" s="220">
        <v>1869.59</v>
      </c>
      <c r="M59" s="217">
        <v>2578.0360000000001</v>
      </c>
      <c r="N59" s="217">
        <v>3983.2</v>
      </c>
      <c r="O59" s="217">
        <v>4789.6580000000004</v>
      </c>
      <c r="P59" s="217">
        <v>5508</v>
      </c>
      <c r="Q59" s="218">
        <f>3879.185+C60</f>
        <v>3879.1849999999999</v>
      </c>
      <c r="R59" s="60">
        <f t="shared" si="50"/>
        <v>22607.669000000002</v>
      </c>
      <c r="S59" s="61">
        <f t="shared" si="46"/>
        <v>41935.187000000005</v>
      </c>
      <c r="T59" s="152"/>
      <c r="U59" s="27"/>
      <c r="V59" s="144"/>
    </row>
    <row r="60" spans="1:26" ht="14.4">
      <c r="A60" s="11"/>
      <c r="B60" s="88" t="s">
        <v>45</v>
      </c>
      <c r="C60" s="24"/>
      <c r="D60" s="217">
        <v>3192.915</v>
      </c>
      <c r="E60" s="217">
        <v>2732.5030000000002</v>
      </c>
      <c r="F60" s="217">
        <v>2825.03</v>
      </c>
      <c r="G60" s="217">
        <v>2861.0039999999999</v>
      </c>
      <c r="H60" s="217">
        <v>3432.444</v>
      </c>
      <c r="I60" s="218">
        <v>3309.5740000000001</v>
      </c>
      <c r="J60" s="83">
        <f t="shared" si="49"/>
        <v>18353.47</v>
      </c>
      <c r="K60" s="84">
        <f t="shared" si="44"/>
        <v>3058.9116666666669</v>
      </c>
      <c r="L60" s="220">
        <v>2401.453</v>
      </c>
      <c r="M60" s="217">
        <v>2459.91</v>
      </c>
      <c r="N60" s="217">
        <v>2606.4090000000001</v>
      </c>
      <c r="O60" s="217">
        <v>2980.4690000000001</v>
      </c>
      <c r="P60" s="217">
        <v>3041.8339999999998</v>
      </c>
      <c r="Q60" s="218">
        <f>3041.834+C61</f>
        <v>3041.8339999999998</v>
      </c>
      <c r="R60" s="60">
        <f t="shared" si="50"/>
        <v>16531.908999999996</v>
      </c>
      <c r="S60" s="61">
        <f t="shared" si="46"/>
        <v>34885.379000000001</v>
      </c>
      <c r="T60" s="152"/>
      <c r="U60" s="184"/>
      <c r="V60" s="144"/>
    </row>
    <row r="61" spans="1:26">
      <c r="A61" s="10"/>
      <c r="B61" s="88" t="s">
        <v>46</v>
      </c>
      <c r="C61" s="24"/>
      <c r="D61" s="219">
        <v>2578.61</v>
      </c>
      <c r="E61" s="219">
        <v>3550.1579999999999</v>
      </c>
      <c r="F61" s="219">
        <v>2307.79</v>
      </c>
      <c r="G61" s="219">
        <v>3393.6860000000001</v>
      </c>
      <c r="H61" s="219">
        <v>1328.0730000000001</v>
      </c>
      <c r="I61" s="219">
        <v>1460.124</v>
      </c>
      <c r="J61" s="96">
        <f t="shared" si="49"/>
        <v>14618.441000000001</v>
      </c>
      <c r="K61" s="97">
        <f t="shared" si="44"/>
        <v>2436.4068333333335</v>
      </c>
      <c r="L61" s="221">
        <v>2260.6219999999998</v>
      </c>
      <c r="M61" s="219">
        <v>2109.252</v>
      </c>
      <c r="N61" s="219">
        <v>3226.616</v>
      </c>
      <c r="O61" s="219">
        <v>4138.5690000000004</v>
      </c>
      <c r="P61" s="219">
        <v>4482.7420000000002</v>
      </c>
      <c r="Q61" s="219">
        <v>4688.674</v>
      </c>
      <c r="R61" s="60">
        <f t="shared" si="50"/>
        <v>20906.475000000002</v>
      </c>
      <c r="S61" s="61">
        <f t="shared" si="46"/>
        <v>35524.916000000005</v>
      </c>
      <c r="T61" s="136">
        <v>40896.360999999997</v>
      </c>
      <c r="U61" s="28">
        <f>T61-S61</f>
        <v>5371.4449999999924</v>
      </c>
      <c r="V61" s="144"/>
    </row>
    <row r="62" spans="1:26" s="234" customFormat="1" ht="14.4">
      <c r="A62" s="227"/>
      <c r="B62" s="227" t="s">
        <v>22</v>
      </c>
      <c r="C62" s="226" t="e">
        <f t="shared" ref="C62:I62" si="51">C63/C61*1000</f>
        <v>#DIV/0!</v>
      </c>
      <c r="D62" s="226">
        <f t="shared" si="51"/>
        <v>10.516130783639248</v>
      </c>
      <c r="E62" s="226">
        <f t="shared" si="51"/>
        <v>10.628259361977692</v>
      </c>
      <c r="F62" s="226">
        <f t="shared" si="51"/>
        <v>10.370895965404131</v>
      </c>
      <c r="G62" s="226">
        <f t="shared" si="51"/>
        <v>9.0886428502813761</v>
      </c>
      <c r="H62" s="226">
        <f t="shared" si="51"/>
        <v>10.751668018248997</v>
      </c>
      <c r="I62" s="226">
        <f t="shared" si="51"/>
        <v>9.2866085346176064</v>
      </c>
      <c r="J62" s="228">
        <f>J63/J61*1000</f>
        <v>10.087631779613158</v>
      </c>
      <c r="K62" s="229">
        <f>K63/K61*1000</f>
        <v>10.087631779613158</v>
      </c>
      <c r="L62" s="229">
        <f>L63/L61*1000</f>
        <v>9.8753396189190408</v>
      </c>
      <c r="M62" s="229">
        <f>M63/M61*1000</f>
        <v>10.072276807133523</v>
      </c>
      <c r="N62" s="226">
        <v>9.0889375151384062</v>
      </c>
      <c r="O62" s="226">
        <v>9.0889375151384062</v>
      </c>
      <c r="P62" s="226">
        <v>9.0889375151384062</v>
      </c>
      <c r="Q62" s="226">
        <v>9.0889375151384062</v>
      </c>
      <c r="R62" s="230">
        <f>R63/R61*1000</f>
        <v>9.2731803521050438</v>
      </c>
      <c r="S62" s="231">
        <f>S63/S61*1000</f>
        <v>9.6083256946131907</v>
      </c>
      <c r="T62" s="228">
        <f>T63/T61*1000</f>
        <v>9.4999894978430977</v>
      </c>
      <c r="U62" s="232">
        <f>U63/U61*1000</f>
        <v>8.7834906246316891</v>
      </c>
      <c r="V62" s="144"/>
      <c r="W62" s="233"/>
      <c r="Z62" s="235"/>
    </row>
    <row r="63" spans="1:26">
      <c r="A63" s="88"/>
      <c r="B63" s="88" t="s">
        <v>21</v>
      </c>
      <c r="C63" s="76"/>
      <c r="D63" s="25">
        <v>27.117000000000001</v>
      </c>
      <c r="E63" s="25">
        <v>37.731999999999999</v>
      </c>
      <c r="F63" s="25">
        <v>23.93385</v>
      </c>
      <c r="G63" s="25">
        <v>30.844000000000001</v>
      </c>
      <c r="H63" s="25">
        <v>14.279</v>
      </c>
      <c r="I63" s="25">
        <v>13.5596</v>
      </c>
      <c r="J63" s="60">
        <f>SUM(D63:I63)</f>
        <v>147.46544999999998</v>
      </c>
      <c r="K63" s="61">
        <f>J63/6</f>
        <v>24.577574999999996</v>
      </c>
      <c r="L63" s="24">
        <v>22.32441</v>
      </c>
      <c r="M63" s="24">
        <v>21.244969999999999</v>
      </c>
      <c r="N63" s="24">
        <f t="shared" ref="M63:Q63" si="52">N61*N62/1000</f>
        <v>29.326511209345824</v>
      </c>
      <c r="O63" s="24">
        <f t="shared" si="52"/>
        <v>37.615195043088839</v>
      </c>
      <c r="P63" s="24">
        <f t="shared" si="52"/>
        <v>40.743361934486572</v>
      </c>
      <c r="Q63" s="24">
        <f t="shared" si="52"/>
        <v>42.615065014854054</v>
      </c>
      <c r="R63" s="60">
        <f>SUM(L63:Q63)</f>
        <v>193.86951320177531</v>
      </c>
      <c r="S63" s="61">
        <f>J63+R63</f>
        <v>341.33496320177528</v>
      </c>
      <c r="T63" s="153">
        <v>388.51499999999999</v>
      </c>
      <c r="U63" s="180">
        <f>T63-S63</f>
        <v>47.180036798224705</v>
      </c>
      <c r="V63" s="208"/>
      <c r="Z63" s="115"/>
    </row>
    <row r="64" spans="1:26" ht="15.65" thickBot="1">
      <c r="A64" s="62"/>
      <c r="B64" s="33" t="s">
        <v>43</v>
      </c>
      <c r="C64" s="177"/>
      <c r="D64" s="29">
        <v>0</v>
      </c>
      <c r="E64" s="223">
        <v>14.016</v>
      </c>
      <c r="F64" s="223">
        <v>39.726309999999998</v>
      </c>
      <c r="G64" s="223">
        <v>24.690999999999999</v>
      </c>
      <c r="H64" s="223">
        <v>27.167000000000002</v>
      </c>
      <c r="I64" s="223">
        <v>25.436</v>
      </c>
      <c r="J64" s="63">
        <f>SUM(D64:I64)</f>
        <v>131.03630999999999</v>
      </c>
      <c r="K64" s="64">
        <f>J64/6</f>
        <v>21.839384999999996</v>
      </c>
      <c r="L64" s="223">
        <v>10.44693</v>
      </c>
      <c r="M64" s="223">
        <v>25.33802</v>
      </c>
      <c r="N64" s="29">
        <f>M63+2.969</f>
        <v>24.21397</v>
      </c>
      <c r="O64" s="29">
        <f t="shared" ref="N64:P64" si="53">N63</f>
        <v>29.326511209345824</v>
      </c>
      <c r="P64" s="29">
        <f t="shared" si="53"/>
        <v>37.615195043088839</v>
      </c>
      <c r="Q64" s="29">
        <f>P63+Q63</f>
        <v>83.358426949340625</v>
      </c>
      <c r="R64" s="63">
        <f>SUM(L64:Q64)</f>
        <v>210.29905320177528</v>
      </c>
      <c r="S64" s="64">
        <f>J64+R64</f>
        <v>341.33536320177529</v>
      </c>
      <c r="T64" s="154">
        <f>S65</f>
        <v>388.51499999999999</v>
      </c>
      <c r="U64" s="181">
        <f>T64-S64</f>
        <v>47.179636798224692</v>
      </c>
      <c r="V64" s="144">
        <f>C63+S63-S64</f>
        <v>-4.0000000001327862E-4</v>
      </c>
      <c r="Z64" s="115"/>
    </row>
    <row r="65" spans="1:26">
      <c r="A65" s="66"/>
      <c r="B65" s="66" t="s">
        <v>28</v>
      </c>
      <c r="C65" s="67"/>
      <c r="D65" s="68">
        <v>0</v>
      </c>
      <c r="E65" s="68">
        <v>33.338000000000001</v>
      </c>
      <c r="F65" s="68">
        <v>20.459</v>
      </c>
      <c r="G65" s="68">
        <v>24.838000000000001</v>
      </c>
      <c r="H65" s="68">
        <v>26.966000000000001</v>
      </c>
      <c r="I65" s="68">
        <v>25.484999999999999</v>
      </c>
      <c r="J65" s="70">
        <f>SUM(D65:I65)</f>
        <v>131.08600000000001</v>
      </c>
      <c r="K65" s="71">
        <f>J65/6</f>
        <v>21.847666666666669</v>
      </c>
      <c r="L65" s="67">
        <v>13.461</v>
      </c>
      <c r="M65" s="67">
        <v>22.312999999999999</v>
      </c>
      <c r="N65" s="68">
        <v>44.656999999999996</v>
      </c>
      <c r="O65" s="68">
        <v>31.853000000000002</v>
      </c>
      <c r="P65" s="68">
        <v>40.816000000000003</v>
      </c>
      <c r="Q65" s="69">
        <v>104.32899999999999</v>
      </c>
      <c r="R65" s="70">
        <f>SUM(L65:Q65)</f>
        <v>257.42899999999997</v>
      </c>
      <c r="S65" s="71">
        <f>J65+R65</f>
        <v>388.51499999999999</v>
      </c>
      <c r="T65" s="193"/>
      <c r="U65" s="72"/>
      <c r="V65" s="144"/>
    </row>
    <row r="66" spans="1:26">
      <c r="A66" s="41"/>
      <c r="B66" s="41" t="s">
        <v>2</v>
      </c>
      <c r="C66" s="42"/>
      <c r="D66" s="43">
        <f t="shared" ref="D66:H66" si="54">D65-D64</f>
        <v>0</v>
      </c>
      <c r="E66" s="43">
        <f t="shared" si="54"/>
        <v>19.322000000000003</v>
      </c>
      <c r="F66" s="43">
        <f t="shared" si="54"/>
        <v>-19.267309999999998</v>
      </c>
      <c r="G66" s="43">
        <f t="shared" si="54"/>
        <v>0.14700000000000202</v>
      </c>
      <c r="H66" s="43">
        <f t="shared" si="54"/>
        <v>-0.20100000000000051</v>
      </c>
      <c r="I66" s="44">
        <f>I65-I64</f>
        <v>4.8999999999999488E-2</v>
      </c>
      <c r="J66" s="53">
        <f>SUM(D66:I66)</f>
        <v>4.9690000000005341E-2</v>
      </c>
      <c r="K66" s="54">
        <f>J66/6</f>
        <v>8.2816666666675563E-3</v>
      </c>
      <c r="L66" s="42">
        <f>L65-L64</f>
        <v>3.0140700000000002</v>
      </c>
      <c r="M66" s="42">
        <f t="shared" ref="M66:Q66" si="55">M65-M64</f>
        <v>-3.0250200000000014</v>
      </c>
      <c r="N66" s="42">
        <f t="shared" si="55"/>
        <v>20.443029999999997</v>
      </c>
      <c r="O66" s="42">
        <f t="shared" si="55"/>
        <v>2.5264887906541773</v>
      </c>
      <c r="P66" s="42">
        <f t="shared" si="55"/>
        <v>3.2008049569111634</v>
      </c>
      <c r="Q66" s="73">
        <f t="shared" si="55"/>
        <v>20.970573050659368</v>
      </c>
      <c r="R66" s="53">
        <f>SUM(L66:Q66)</f>
        <v>47.129946798224708</v>
      </c>
      <c r="S66" s="54">
        <f>J66+R66</f>
        <v>47.179636798224713</v>
      </c>
      <c r="T66" s="194"/>
      <c r="U66" s="45"/>
      <c r="V66" s="144"/>
    </row>
    <row r="67" spans="1:26" ht="15.65" thickBot="1">
      <c r="A67" s="46"/>
      <c r="B67" s="46" t="s">
        <v>29</v>
      </c>
      <c r="C67" s="47"/>
      <c r="D67" s="48">
        <f>D66</f>
        <v>0</v>
      </c>
      <c r="E67" s="48">
        <f>D67+E66</f>
        <v>19.322000000000003</v>
      </c>
      <c r="F67" s="48">
        <f>E67+F66</f>
        <v>5.4690000000004346E-2</v>
      </c>
      <c r="G67" s="48">
        <f>F67+G66</f>
        <v>0.20169000000000636</v>
      </c>
      <c r="H67" s="48">
        <f>G67+H66</f>
        <v>6.900000000058526E-4</v>
      </c>
      <c r="I67" s="49">
        <f>H67+I66</f>
        <v>4.9690000000005341E-2</v>
      </c>
      <c r="J67" s="50">
        <f>(D65+E65+F65+G65+H65+I65)-(D64+E64+F64+G64+H64+I64)</f>
        <v>4.9690000000026657E-2</v>
      </c>
      <c r="K67" s="51">
        <f>J67/6</f>
        <v>8.281666666671109E-3</v>
      </c>
      <c r="L67" s="47">
        <f>I67+L66</f>
        <v>3.0637600000000056</v>
      </c>
      <c r="M67" s="48">
        <f>L67+M66</f>
        <v>3.8740000000004216E-2</v>
      </c>
      <c r="N67" s="48">
        <f>M67+N66</f>
        <v>20.481770000000001</v>
      </c>
      <c r="O67" s="48">
        <f>N67+O66</f>
        <v>23.008258790654178</v>
      </c>
      <c r="P67" s="48">
        <f>O67+P66</f>
        <v>26.209063747565342</v>
      </c>
      <c r="Q67" s="49">
        <f>P67+Q66</f>
        <v>47.179636798224706</v>
      </c>
      <c r="R67" s="50">
        <f>(L65+M65+N65+O65+P65+Q65)-(L64+M64+N64+O64+P64+Q64)</f>
        <v>47.129946798224694</v>
      </c>
      <c r="S67" s="51">
        <f>J67+R67</f>
        <v>47.17963679822472</v>
      </c>
      <c r="T67" s="195"/>
      <c r="U67" s="52"/>
      <c r="V67" s="144"/>
    </row>
    <row r="68" spans="1:26" s="74" customFormat="1" ht="15.65" hidden="1" thickBot="1">
      <c r="A68" s="213"/>
      <c r="B68" s="213"/>
      <c r="C68" s="214"/>
      <c r="D68" s="214"/>
      <c r="E68" s="214"/>
      <c r="F68" s="214"/>
      <c r="G68" s="214"/>
      <c r="H68" s="214"/>
      <c r="I68" s="214"/>
      <c r="J68" s="215"/>
      <c r="K68" s="215"/>
      <c r="L68" s="214"/>
      <c r="M68" s="214"/>
      <c r="N68" s="214"/>
      <c r="O68" s="214"/>
      <c r="P68" s="214"/>
      <c r="Q68" s="214"/>
      <c r="R68" s="215"/>
      <c r="S68" s="215"/>
      <c r="T68" s="214"/>
      <c r="U68" s="216"/>
      <c r="V68" s="65"/>
      <c r="W68" s="113"/>
      <c r="Z68" s="113"/>
    </row>
    <row r="71" spans="1:26" ht="15.05" customHeight="1">
      <c r="B71" s="12" t="s">
        <v>47</v>
      </c>
      <c r="N71" s="12" t="s">
        <v>48</v>
      </c>
    </row>
    <row r="75" spans="1:26" ht="15.05" customHeight="1">
      <c r="H75" s="12">
        <v>56.140999999999998</v>
      </c>
    </row>
    <row r="76" spans="1:26" ht="15.05" customHeight="1">
      <c r="H76" s="225">
        <f>H75-H7</f>
        <v>-9.9999999999766942E-4</v>
      </c>
    </row>
  </sheetData>
  <customSheetViews>
    <customSheetView guid="{168AF351-D3E1-41E7-895A-DFB0EE50CFF9}" scale="75" showPageBreaks="1" printArea="1" hiddenRows="1" hiddenColumns="1" view="pageBreakPreview" topLeftCell="A1017">
      <selection activeCell="A1025" sqref="A1025:U1076"/>
      <rowBreaks count="1" manualBreakCount="1">
        <brk id="376" max="16383" man="1"/>
      </rowBreaks>
      <pageMargins left="0.15748031496062992" right="0.15748031496062992" top="0.55118110236220474" bottom="0.15748031496062992" header="0" footer="0.15748031496062992"/>
      <printOptions horizontalCentered="1" verticalCentered="1"/>
      <pageSetup paperSize="9" scale="47" firstPageNumber="0" fitToHeight="7" orientation="landscape" r:id="rId1"/>
      <headerFooter alignWithMargins="0"/>
    </customSheetView>
    <customSheetView guid="{EC43E0CC-E635-4854-A9E5-5B417B30459E}" scale="80" showPageBreaks="1" printArea="1" hiddenRows="1" hiddenColumns="1" view="pageBreakPreview">
      <pane xSplit="3" ySplit="3" topLeftCell="D4" activePane="bottomRight" state="frozen"/>
      <selection pane="bottomRight" activeCell="I8" sqref="I8"/>
      <pageMargins left="0.15748031496062992" right="0.15748031496062992" top="0.55118110236220474" bottom="0.15748031496062992" header="0" footer="0.15748031496062992"/>
      <printOptions horizontalCentered="1" verticalCentered="1"/>
      <pageSetup paperSize="9" scale="48" firstPageNumber="0" fitToHeight="7" orientation="landscape" r:id="rId2"/>
      <headerFooter alignWithMargins="0"/>
    </customSheetView>
    <customSheetView guid="{3FFF4174-2CBA-4501-ADCB-BD35267B3ADC}" scale="75" showPageBreaks="1" printArea="1" hiddenRows="1" view="pageBreakPreview">
      <pane xSplit="3" ySplit="3" topLeftCell="G462" activePane="bottomRight" state="frozen"/>
      <selection pane="bottomRight" activeCell="A131" sqref="A131:XFD132"/>
      <rowBreaks count="10" manualBreakCount="10">
        <brk id="131" max="23" man="1"/>
        <brk id="217" max="23" man="1"/>
        <brk id="311" max="23" man="1"/>
        <brk id="398" max="23" man="1"/>
        <brk id="480" max="23" man="1"/>
        <brk id="614" max="23" man="1"/>
        <brk id="694" max="23" man="1"/>
        <brk id="774" max="23" man="1"/>
        <brk id="854" max="23" man="1"/>
        <brk id="934" max="23" man="1"/>
      </rowBreaks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43" firstPageNumber="0" fitToHeight="7" orientation="landscape" r:id="rId3"/>
      <headerFooter alignWithMargins="0"/>
    </customSheetView>
    <customSheetView guid="{349B6510-CFFA-4B80-AD9E-5B1766AAFE00}" scale="85" showPageBreaks="1" hiddenRows="1" hiddenColumns="1" view="pageBreakPreview">
      <pane xSplit="3" ySplit="3" topLeftCell="D921" activePane="bottomRight" state="frozen"/>
      <selection pane="bottomRight" activeCell="O912" sqref="O912"/>
      <pageMargins left="0.15748031496062992" right="0.15748031496062992" top="0.55118110236220474" bottom="0.15748031496062992" header="0" footer="0.15748031496062992"/>
      <printOptions horizontalCentered="1" verticalCentered="1"/>
      <pageSetup paperSize="9" scale="48" firstPageNumber="0" fitToHeight="7" orientation="landscape" r:id="rId4"/>
      <headerFooter alignWithMargins="0"/>
    </customSheetView>
    <customSheetView guid="{AA1234CA-557D-43C5-A518-6A11E8C1B2D9}" scale="85" showPageBreaks="1" printArea="1" hiddenRows="1" hiddenColumns="1" view="pageBreakPreview">
      <pane xSplit="3" ySplit="3" topLeftCell="G34" activePane="bottomRight" state="frozen"/>
      <selection pane="bottomRight" activeCell="K51" sqref="K51"/>
      <rowBreaks count="1" manualBreakCount="1">
        <brk id="376" max="16383" man="1"/>
      </rowBreaks>
      <pageMargins left="0.15748031496062992" right="0.15748031496062992" top="0.55118110236220474" bottom="0.15748031496062992" header="0" footer="0.15748031496062992"/>
      <printOptions horizontalCentered="1" verticalCentered="1"/>
      <pageSetup paperSize="9" scale="47" firstPageNumber="0" fitToHeight="7" orientation="landscape" r:id="rId5"/>
      <headerFooter alignWithMargins="0"/>
    </customSheetView>
    <customSheetView guid="{1D008419-FE60-486A-93C6-B5F62B40269F}" scale="85" showPageBreaks="1" printArea="1" hiddenRows="1" hiddenColumns="1" view="pageBreakPreview">
      <pane xSplit="3" ySplit="3" topLeftCell="E258" activePane="bottomRight" state="frozen"/>
      <selection pane="bottomRight" activeCell="L1312" sqref="L1312:L1313"/>
      <rowBreaks count="1" manualBreakCount="1">
        <brk id="376" max="16383" man="1"/>
      </rowBreaks>
      <pageMargins left="0.15748031496062992" right="0.15748031496062992" top="0.55118110236220474" bottom="0.15748031496062992" header="0" footer="0.15748031496062992"/>
      <printOptions horizontalCentered="1" verticalCentered="1"/>
      <pageSetup paperSize="9" scale="47" firstPageNumber="0" fitToHeight="7" orientation="landscape" r:id="rId6"/>
      <headerFooter alignWithMargins="0"/>
    </customSheetView>
    <customSheetView guid="{468BE156-1D42-4568-9A20-94B105C0C7C5}" scale="90" showPageBreaks="1" printArea="1" hiddenRows="1" hiddenColumns="1" view="pageBreakPreview">
      <pane xSplit="3" ySplit="3" topLeftCell="D83" activePane="bottomRight" state="frozen"/>
      <selection pane="bottomRight" activeCell="F133" sqref="F133"/>
      <pageMargins left="0.15748031496062992" right="0.15748031496062992" top="0.55118110236220474" bottom="0.15748031496062992" header="0" footer="0.15748031496062992"/>
      <printOptions horizontalCentered="1" verticalCentered="1"/>
      <pageSetup paperSize="9" scale="48" firstPageNumber="0" fitToHeight="7" orientation="landscape" r:id="rId7"/>
      <headerFooter alignWithMargins="0"/>
    </customSheetView>
    <customSheetView guid="{FCC8DAD3-4A97-455A-BAE9-4D80D3CF9A41}" scale="85" showPageBreaks="1" printArea="1" hiddenRows="1" hiddenColumns="1" view="pageBreakPreview">
      <pane xSplit="3" ySplit="3" topLeftCell="I108" activePane="bottomRight" state="frozen"/>
      <selection pane="bottomRight" activeCell="A137" sqref="A137:X137"/>
      <pageMargins left="0.15748031496062992" right="0.15748031496062992" top="0.55118110236220474" bottom="0.15748031496062992" header="0" footer="0.15748031496062992"/>
      <printOptions horizontalCentered="1" verticalCentered="1"/>
      <pageSetup paperSize="9" scale="48" firstPageNumber="0" fitToHeight="7" orientation="landscape" r:id="rId8"/>
      <headerFooter alignWithMargins="0"/>
    </customSheetView>
  </customSheetViews>
  <mergeCells count="8">
    <mergeCell ref="A1:S1"/>
    <mergeCell ref="D3:S3"/>
    <mergeCell ref="V2:V3"/>
    <mergeCell ref="U3:U4"/>
    <mergeCell ref="C3:C4"/>
    <mergeCell ref="B3:B4"/>
    <mergeCell ref="A3:A4"/>
    <mergeCell ref="T3:T4"/>
  </mergeCells>
  <phoneticPr fontId="7" type="noConversion"/>
  <printOptions horizontalCentered="1" verticalCentered="1"/>
  <pageMargins left="0.15748031496062992" right="0.15748031496062992" top="0.55118110236220474" bottom="0.15748031496062992" header="0" footer="0.15748031496062992"/>
  <pageSetup paperSize="9" scale="53" firstPageNumber="0" orientation="landscape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2025-04-18T11:23:53Z</cp:lastPrinted>
  <dcterms:created xsi:type="dcterms:W3CDTF">2012-07-11T11:46:41Z</dcterms:created>
  <dcterms:modified xsi:type="dcterms:W3CDTF">2025-09-12T12:04:24Z</dcterms:modified>
</cp:coreProperties>
</file>